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 tabRatio="895" activeTab="6"/>
  </bookViews>
  <sheets>
    <sheet name="M_Calculo" sheetId="11" r:id="rId1"/>
    <sheet name="Orçamento" sheetId="2" r:id="rId2"/>
    <sheet name="Curva ABC" sheetId="13" r:id="rId3"/>
    <sheet name="CFF" sheetId="3" r:id="rId4"/>
    <sheet name="BDI" sheetId="17" r:id="rId5"/>
    <sheet name="Encargos" sheetId="16" r:id="rId6"/>
    <sheet name="Comp_UNT" sheetId="18" r:id="rId7"/>
  </sheets>
  <externalReferences>
    <externalReference r:id="rId8"/>
  </externalReferences>
  <definedNames>
    <definedName name="_xlnm._FilterDatabase" localSheetId="2" hidden="1">'Curva ABC'!$A$12:$H$42</definedName>
    <definedName name="AREA" localSheetId="3">#REF!</definedName>
    <definedName name="AREA" localSheetId="2">#REF!</definedName>
    <definedName name="AREA" localSheetId="0">#REF!</definedName>
    <definedName name="AREA" localSheetId="1">#REF!</definedName>
    <definedName name="AREA">#REF!</definedName>
    <definedName name="ÁREA" localSheetId="3">#REF!</definedName>
    <definedName name="ÁREA" localSheetId="2">#REF!</definedName>
    <definedName name="ÁREA" localSheetId="0">#REF!</definedName>
    <definedName name="ÁREA" localSheetId="1">#REF!</definedName>
    <definedName name="ÁREA">#REF!</definedName>
    <definedName name="_xlnm.Print_Area" localSheetId="4">BDI!$A$1:$E$37</definedName>
    <definedName name="_xlnm.Print_Area" localSheetId="3">CFF!$A$1:$I$45</definedName>
    <definedName name="_xlnm.Print_Area" localSheetId="6">Comp_UNT!$A$1:$F$558</definedName>
    <definedName name="_xlnm.Print_Area" localSheetId="2">'Curva ABC'!$A$1:$J$52</definedName>
    <definedName name="_xlnm.Print_Area" localSheetId="5">Encargos!$A$1:$D$56</definedName>
    <definedName name="_xlnm.Print_Area" localSheetId="0">M_Calculo!$A$1:$I$105</definedName>
    <definedName name="_xlnm.Print_Area" localSheetId="1">Orçamento!$A$1:$H$105</definedName>
    <definedName name="_xlnm.Database" localSheetId="3">[1]ORC!#REF!</definedName>
    <definedName name="_xlnm.Database" localSheetId="2">[1]ORC!#REF!</definedName>
    <definedName name="_xlnm.Database" localSheetId="0">[1]ORC!#REF!</definedName>
    <definedName name="_xlnm.Database" localSheetId="1">[1]ORC!#REF!</definedName>
    <definedName name="_xlnm.Database">[1]ORC!#REF!</definedName>
    <definedName name="BDI" localSheetId="3">#REF!</definedName>
    <definedName name="BDI" localSheetId="2">#REF!</definedName>
    <definedName name="BDI" localSheetId="0">#REF!</definedName>
    <definedName name="BDI" localSheetId="1">#REF!</definedName>
    <definedName name="BDI">#REF!</definedName>
    <definedName name="P.1" localSheetId="3">#REF!</definedName>
    <definedName name="P.1" localSheetId="2">#REF!</definedName>
    <definedName name="P.1" localSheetId="0">#REF!</definedName>
    <definedName name="P.1" localSheetId="1">#REF!</definedName>
    <definedName name="P.1">#REF!</definedName>
    <definedName name="P.10" localSheetId="3">#REF!</definedName>
    <definedName name="P.10" localSheetId="2">#REF!</definedName>
    <definedName name="P.10" localSheetId="0">#REF!</definedName>
    <definedName name="P.10" localSheetId="1">#REF!</definedName>
    <definedName name="P.10">#REF!</definedName>
    <definedName name="P.11" localSheetId="3">#REF!</definedName>
    <definedName name="P.11" localSheetId="2">#REF!</definedName>
    <definedName name="P.11" localSheetId="0">#REF!</definedName>
    <definedName name="P.11" localSheetId="1">#REF!</definedName>
    <definedName name="P.11">#REF!</definedName>
    <definedName name="P.12" localSheetId="3">#REF!</definedName>
    <definedName name="P.12" localSheetId="2">#REF!</definedName>
    <definedName name="P.12" localSheetId="0">#REF!</definedName>
    <definedName name="P.12" localSheetId="1">#REF!</definedName>
    <definedName name="P.12">#REF!</definedName>
    <definedName name="P.13" localSheetId="3">#REF!</definedName>
    <definedName name="P.13" localSheetId="2">#REF!</definedName>
    <definedName name="P.13" localSheetId="0">#REF!</definedName>
    <definedName name="P.13" localSheetId="1">#REF!</definedName>
    <definedName name="P.13">#REF!</definedName>
    <definedName name="P.14" localSheetId="3">#REF!</definedName>
    <definedName name="P.14" localSheetId="2">#REF!</definedName>
    <definedName name="P.14" localSheetId="0">#REF!</definedName>
    <definedName name="P.14" localSheetId="1">#REF!</definedName>
    <definedName name="P.14">#REF!</definedName>
    <definedName name="P.15" localSheetId="3">#REF!</definedName>
    <definedName name="P.15" localSheetId="2">#REF!</definedName>
    <definedName name="P.15" localSheetId="0">#REF!</definedName>
    <definedName name="P.15" localSheetId="1">#REF!</definedName>
    <definedName name="P.15">#REF!</definedName>
    <definedName name="P.2" localSheetId="3">#REF!</definedName>
    <definedName name="P.2" localSheetId="2">#REF!</definedName>
    <definedName name="P.2" localSheetId="0">#REF!</definedName>
    <definedName name="P.2" localSheetId="1">#REF!</definedName>
    <definedName name="P.2">#REF!</definedName>
    <definedName name="P.3" localSheetId="3">#REF!</definedName>
    <definedName name="P.3" localSheetId="2">#REF!</definedName>
    <definedName name="P.3" localSheetId="0">#REF!</definedName>
    <definedName name="P.3" localSheetId="1">#REF!</definedName>
    <definedName name="P.3">#REF!</definedName>
    <definedName name="P.4" localSheetId="3">#REF!</definedName>
    <definedName name="P.4" localSheetId="2">#REF!</definedName>
    <definedName name="P.4" localSheetId="0">#REF!</definedName>
    <definedName name="P.4" localSheetId="1">#REF!</definedName>
    <definedName name="P.4">#REF!</definedName>
    <definedName name="p.414" localSheetId="3">#REF!</definedName>
    <definedName name="p.414" localSheetId="2">#REF!</definedName>
    <definedName name="p.414" localSheetId="0">#REF!</definedName>
    <definedName name="p.414" localSheetId="1">#REF!</definedName>
    <definedName name="p.414">#REF!</definedName>
    <definedName name="P.5" localSheetId="3">#REF!</definedName>
    <definedName name="P.5" localSheetId="2">#REF!</definedName>
    <definedName name="P.5" localSheetId="0">#REF!</definedName>
    <definedName name="P.5" localSheetId="1">#REF!</definedName>
    <definedName name="P.5">#REF!</definedName>
    <definedName name="P.6" localSheetId="3">#REF!</definedName>
    <definedName name="P.6" localSheetId="2">#REF!</definedName>
    <definedName name="P.6" localSheetId="0">#REF!</definedName>
    <definedName name="P.6" localSheetId="1">#REF!</definedName>
    <definedName name="P.6">#REF!</definedName>
    <definedName name="P.7" localSheetId="3">#REF!</definedName>
    <definedName name="P.7" localSheetId="2">#REF!</definedName>
    <definedName name="P.7" localSheetId="0">#REF!</definedName>
    <definedName name="P.7" localSheetId="1">#REF!</definedName>
    <definedName name="P.7">#REF!</definedName>
    <definedName name="P.8" localSheetId="3">#REF!</definedName>
    <definedName name="P.8" localSheetId="2">#REF!</definedName>
    <definedName name="P.8" localSheetId="0">#REF!</definedName>
    <definedName name="P.8" localSheetId="1">#REF!</definedName>
    <definedName name="P.8">#REF!</definedName>
    <definedName name="P.9" localSheetId="3">#REF!</definedName>
    <definedName name="P.9" localSheetId="2">#REF!</definedName>
    <definedName name="P.9" localSheetId="0">#REF!</definedName>
    <definedName name="P.9" localSheetId="1">#REF!</definedName>
    <definedName name="P.9">#REF!</definedName>
    <definedName name="PP1.1" localSheetId="3">#REF!</definedName>
    <definedName name="PP1.1" localSheetId="2">#REF!</definedName>
    <definedName name="PP1.1" localSheetId="0">#REF!</definedName>
    <definedName name="PP1.1" localSheetId="1">#REF!</definedName>
    <definedName name="PP1.1">#REF!</definedName>
    <definedName name="PP1.10" localSheetId="3">#REF!</definedName>
    <definedName name="PP1.10" localSheetId="2">#REF!</definedName>
    <definedName name="PP1.10" localSheetId="0">#REF!</definedName>
    <definedName name="PP1.10" localSheetId="1">#REF!</definedName>
    <definedName name="PP1.10">#REF!</definedName>
    <definedName name="PP1.11" localSheetId="3">#REF!</definedName>
    <definedName name="PP1.11" localSheetId="2">#REF!</definedName>
    <definedName name="PP1.11" localSheetId="0">#REF!</definedName>
    <definedName name="PP1.11" localSheetId="1">#REF!</definedName>
    <definedName name="PP1.11">#REF!</definedName>
    <definedName name="PP1.12" localSheetId="3">#REF!</definedName>
    <definedName name="PP1.12" localSheetId="2">#REF!</definedName>
    <definedName name="PP1.12" localSheetId="0">#REF!</definedName>
    <definedName name="PP1.12" localSheetId="1">#REF!</definedName>
    <definedName name="PP1.12">#REF!</definedName>
    <definedName name="PP1.13" localSheetId="3">#REF!</definedName>
    <definedName name="PP1.13" localSheetId="2">#REF!</definedName>
    <definedName name="PP1.13" localSheetId="0">#REF!</definedName>
    <definedName name="PP1.13" localSheetId="1">#REF!</definedName>
    <definedName name="PP1.13">#REF!</definedName>
    <definedName name="PP1.14" localSheetId="3">#REF!</definedName>
    <definedName name="PP1.14" localSheetId="2">#REF!</definedName>
    <definedName name="PP1.14" localSheetId="0">#REF!</definedName>
    <definedName name="PP1.14" localSheetId="1">#REF!</definedName>
    <definedName name="PP1.14">#REF!</definedName>
    <definedName name="PP1.15" localSheetId="3">#REF!</definedName>
    <definedName name="PP1.15" localSheetId="2">#REF!</definedName>
    <definedName name="PP1.15" localSheetId="0">#REF!</definedName>
    <definedName name="PP1.15" localSheetId="1">#REF!</definedName>
    <definedName name="PP1.15">#REF!</definedName>
    <definedName name="PP1.2" localSheetId="3">#REF!</definedName>
    <definedName name="PP1.2" localSheetId="2">#REF!</definedName>
    <definedName name="PP1.2" localSheetId="0">#REF!</definedName>
    <definedName name="PP1.2" localSheetId="1">#REF!</definedName>
    <definedName name="PP1.2">#REF!</definedName>
    <definedName name="PP1.3" localSheetId="3">#REF!</definedName>
    <definedName name="PP1.3" localSheetId="2">#REF!</definedName>
    <definedName name="PP1.3" localSheetId="0">#REF!</definedName>
    <definedName name="PP1.3" localSheetId="1">#REF!</definedName>
    <definedName name="PP1.3">#REF!</definedName>
    <definedName name="PP1.4" localSheetId="3">#REF!</definedName>
    <definedName name="PP1.4" localSheetId="2">#REF!</definedName>
    <definedName name="PP1.4" localSheetId="0">#REF!</definedName>
    <definedName name="PP1.4" localSheetId="1">#REF!</definedName>
    <definedName name="PP1.4">#REF!</definedName>
    <definedName name="PP1.5" localSheetId="3">#REF!</definedName>
    <definedName name="PP1.5" localSheetId="2">#REF!</definedName>
    <definedName name="PP1.5" localSheetId="0">#REF!</definedName>
    <definedName name="PP1.5" localSheetId="1">#REF!</definedName>
    <definedName name="PP1.5">#REF!</definedName>
    <definedName name="PP1.6" localSheetId="3">#REF!</definedName>
    <definedName name="PP1.6" localSheetId="2">#REF!</definedName>
    <definedName name="PP1.6" localSheetId="0">#REF!</definedName>
    <definedName name="PP1.6" localSheetId="1">#REF!</definedName>
    <definedName name="PP1.6">#REF!</definedName>
    <definedName name="PP1.7" localSheetId="3">#REF!</definedName>
    <definedName name="PP1.7" localSheetId="2">#REF!</definedName>
    <definedName name="PP1.7" localSheetId="0">#REF!</definedName>
    <definedName name="PP1.7" localSheetId="1">#REF!</definedName>
    <definedName name="PP1.7">#REF!</definedName>
    <definedName name="PP1.8" localSheetId="3">#REF!</definedName>
    <definedName name="PP1.8" localSheetId="2">#REF!</definedName>
    <definedName name="PP1.8" localSheetId="0">#REF!</definedName>
    <definedName name="PP1.8" localSheetId="1">#REF!</definedName>
    <definedName name="PP1.8">#REF!</definedName>
    <definedName name="PP1.9" localSheetId="3">#REF!</definedName>
    <definedName name="PP1.9" localSheetId="2">#REF!</definedName>
    <definedName name="PP1.9" localSheetId="0">#REF!</definedName>
    <definedName name="PP1.9" localSheetId="1">#REF!</definedName>
    <definedName name="PP1.9">#REF!</definedName>
    <definedName name="PPDD" localSheetId="2">#REF!</definedName>
    <definedName name="PPDD" localSheetId="0">#REF!</definedName>
    <definedName name="PPDD">#REF!</definedName>
    <definedName name="PSS" localSheetId="2">#REF!</definedName>
    <definedName name="PSS" localSheetId="0">#REF!</definedName>
    <definedName name="PSS">#REF!</definedName>
    <definedName name="T.1" localSheetId="3">#REF!</definedName>
    <definedName name="T.1" localSheetId="2">#REF!</definedName>
    <definedName name="T.1" localSheetId="0">#REF!</definedName>
    <definedName name="T.1" localSheetId="1">#REF!</definedName>
    <definedName name="T.1">#REF!</definedName>
    <definedName name="T.10" localSheetId="3">#REF!</definedName>
    <definedName name="T.10" localSheetId="2">#REF!</definedName>
    <definedName name="T.10" localSheetId="0">#REF!</definedName>
    <definedName name="T.10" localSheetId="1">#REF!</definedName>
    <definedName name="T.10">#REF!</definedName>
    <definedName name="T.11" localSheetId="3">#REF!</definedName>
    <definedName name="T.11" localSheetId="2">#REF!</definedName>
    <definedName name="T.11" localSheetId="0">#REF!</definedName>
    <definedName name="T.11" localSheetId="1">#REF!</definedName>
    <definedName name="T.11">#REF!</definedName>
    <definedName name="T.12" localSheetId="3">#REF!</definedName>
    <definedName name="T.12" localSheetId="2">#REF!</definedName>
    <definedName name="T.12" localSheetId="0">#REF!</definedName>
    <definedName name="T.12" localSheetId="1">#REF!</definedName>
    <definedName name="T.12">#REF!</definedName>
    <definedName name="T.13" localSheetId="3">#REF!</definedName>
    <definedName name="T.13" localSheetId="2">#REF!</definedName>
    <definedName name="T.13" localSheetId="0">#REF!</definedName>
    <definedName name="T.13" localSheetId="1">#REF!</definedName>
    <definedName name="T.13">#REF!</definedName>
    <definedName name="T.14" localSheetId="3">#REF!</definedName>
    <definedName name="T.14" localSheetId="2">#REF!</definedName>
    <definedName name="T.14" localSheetId="0">#REF!</definedName>
    <definedName name="T.14" localSheetId="1">#REF!</definedName>
    <definedName name="T.14">#REF!</definedName>
    <definedName name="T.15" localSheetId="3">#REF!</definedName>
    <definedName name="T.15" localSheetId="2">#REF!</definedName>
    <definedName name="T.15" localSheetId="0">#REF!</definedName>
    <definedName name="T.15" localSheetId="1">#REF!</definedName>
    <definedName name="T.15">#REF!</definedName>
    <definedName name="T.2" localSheetId="3">#REF!</definedName>
    <definedName name="T.2" localSheetId="2">#REF!</definedName>
    <definedName name="T.2" localSheetId="0">#REF!</definedName>
    <definedName name="T.2" localSheetId="1">#REF!</definedName>
    <definedName name="T.2">#REF!</definedName>
    <definedName name="T.3" localSheetId="3">#REF!</definedName>
    <definedName name="T.3" localSheetId="2">#REF!</definedName>
    <definedName name="T.3" localSheetId="0">#REF!</definedName>
    <definedName name="T.3" localSheetId="1">#REF!</definedName>
    <definedName name="T.3">#REF!</definedName>
    <definedName name="T.4" localSheetId="3">#REF!</definedName>
    <definedName name="T.4" localSheetId="2">#REF!</definedName>
    <definedName name="T.4" localSheetId="0">#REF!</definedName>
    <definedName name="T.4" localSheetId="1">#REF!</definedName>
    <definedName name="T.4">#REF!</definedName>
    <definedName name="T.5" localSheetId="3">#REF!</definedName>
    <definedName name="T.5" localSheetId="2">#REF!</definedName>
    <definedName name="T.5" localSheetId="0">#REF!</definedName>
    <definedName name="T.5" localSheetId="1">#REF!</definedName>
    <definedName name="T.5">#REF!</definedName>
    <definedName name="T.6" localSheetId="3">#REF!</definedName>
    <definedName name="T.6" localSheetId="2">#REF!</definedName>
    <definedName name="T.6" localSheetId="0">#REF!</definedName>
    <definedName name="T.6" localSheetId="1">#REF!</definedName>
    <definedName name="T.6">#REF!</definedName>
    <definedName name="T.7" localSheetId="3">#REF!</definedName>
    <definedName name="T.7" localSheetId="2">#REF!</definedName>
    <definedName name="T.7" localSheetId="0">#REF!</definedName>
    <definedName name="T.7" localSheetId="1">#REF!</definedName>
    <definedName name="T.7">#REF!</definedName>
    <definedName name="T.8" localSheetId="3">#REF!</definedName>
    <definedName name="T.8" localSheetId="2">#REF!</definedName>
    <definedName name="T.8" localSheetId="0">#REF!</definedName>
    <definedName name="T.8" localSheetId="1">#REF!</definedName>
    <definedName name="T.8">#REF!</definedName>
    <definedName name="T.9" localSheetId="3">#REF!</definedName>
    <definedName name="T.9" localSheetId="2">#REF!</definedName>
    <definedName name="T.9" localSheetId="0">#REF!</definedName>
    <definedName name="T.9" localSheetId="1">#REF!</definedName>
    <definedName name="T.9">#REF!</definedName>
    <definedName name="_xlnm.Print_Titles" localSheetId="3">CFF!$1:$11</definedName>
    <definedName name="_xlnm.Print_Titles" localSheetId="2">'Curva ABC'!$1:$12</definedName>
    <definedName name="_xlnm.Print_Titles" localSheetId="0">M_Calculo!$1:$12</definedName>
    <definedName name="_xlnm.Print_Titles" localSheetId="1">Orçamento!$1:$12</definedName>
    <definedName name="TOT.P" localSheetId="3">#REF!</definedName>
    <definedName name="TOT.P" localSheetId="2">#REF!</definedName>
    <definedName name="TOT.P" localSheetId="0">#REF!</definedName>
    <definedName name="TOT.P" localSheetId="1">#REF!</definedName>
    <definedName name="TOT.P">#REF!</definedName>
    <definedName name="TOT1.P" localSheetId="3">#REF!</definedName>
    <definedName name="TOT1.P" localSheetId="2">#REF!</definedName>
    <definedName name="TOT1.P" localSheetId="0">#REF!</definedName>
    <definedName name="TOT1.P" localSheetId="1">#REF!</definedName>
    <definedName name="TOT1.P">#REF!</definedName>
    <definedName name="TT.1" localSheetId="3">#REF!</definedName>
    <definedName name="TT.1" localSheetId="2">#REF!</definedName>
    <definedName name="TT.1" localSheetId="0">#REF!</definedName>
    <definedName name="TT.1" localSheetId="1">#REF!</definedName>
    <definedName name="TT.1">#REF!</definedName>
    <definedName name="TT.10" localSheetId="3">#REF!</definedName>
    <definedName name="TT.10" localSheetId="2">#REF!</definedName>
    <definedName name="TT.10" localSheetId="0">#REF!</definedName>
    <definedName name="TT.10" localSheetId="1">#REF!</definedName>
    <definedName name="TT.10">#REF!</definedName>
    <definedName name="TT.11" localSheetId="3">#REF!</definedName>
    <definedName name="TT.11" localSheetId="2">#REF!</definedName>
    <definedName name="TT.11" localSheetId="0">#REF!</definedName>
    <definedName name="TT.11" localSheetId="1">#REF!</definedName>
    <definedName name="TT.11">#REF!</definedName>
    <definedName name="TT.12" localSheetId="3">#REF!</definedName>
    <definedName name="TT.12" localSheetId="2">#REF!</definedName>
    <definedName name="TT.12" localSheetId="0">#REF!</definedName>
    <definedName name="TT.12" localSheetId="1">#REF!</definedName>
    <definedName name="TT.12">#REF!</definedName>
    <definedName name="TT.13" localSheetId="3">#REF!</definedName>
    <definedName name="TT.13" localSheetId="2">#REF!</definedName>
    <definedName name="TT.13" localSheetId="0">#REF!</definedName>
    <definedName name="TT.13" localSheetId="1">#REF!</definedName>
    <definedName name="TT.13">#REF!</definedName>
    <definedName name="TT.14" localSheetId="3">#REF!</definedName>
    <definedName name="TT.14" localSheetId="2">#REF!</definedName>
    <definedName name="TT.14" localSheetId="0">#REF!</definedName>
    <definedName name="TT.14" localSheetId="1">#REF!</definedName>
    <definedName name="TT.14">#REF!</definedName>
    <definedName name="TT.15" localSheetId="3">#REF!</definedName>
    <definedName name="TT.15" localSheetId="2">#REF!</definedName>
    <definedName name="TT.15" localSheetId="0">#REF!</definedName>
    <definedName name="TT.15" localSheetId="1">#REF!</definedName>
    <definedName name="TT.15">#REF!</definedName>
    <definedName name="TT.2" localSheetId="3">#REF!</definedName>
    <definedName name="TT.2" localSheetId="2">#REF!</definedName>
    <definedName name="TT.2" localSheetId="0">#REF!</definedName>
    <definedName name="TT.2" localSheetId="1">#REF!</definedName>
    <definedName name="TT.2">#REF!</definedName>
    <definedName name="TT.3" localSheetId="3">#REF!</definedName>
    <definedName name="TT.3" localSheetId="2">#REF!</definedName>
    <definedName name="TT.3" localSheetId="0">#REF!</definedName>
    <definedName name="TT.3" localSheetId="1">#REF!</definedName>
    <definedName name="TT.3">#REF!</definedName>
    <definedName name="TT.4" localSheetId="3">#REF!</definedName>
    <definedName name="TT.4" localSheetId="2">#REF!</definedName>
    <definedName name="TT.4" localSheetId="0">#REF!</definedName>
    <definedName name="TT.4" localSheetId="1">#REF!</definedName>
    <definedName name="TT.4">#REF!</definedName>
    <definedName name="TT.5" localSheetId="3">#REF!</definedName>
    <definedName name="TT.5" localSheetId="2">#REF!</definedName>
    <definedName name="TT.5" localSheetId="0">#REF!</definedName>
    <definedName name="TT.5" localSheetId="1">#REF!</definedName>
    <definedName name="TT.5">#REF!</definedName>
    <definedName name="TT.6" localSheetId="3">#REF!</definedName>
    <definedName name="TT.6" localSheetId="2">#REF!</definedName>
    <definedName name="TT.6" localSheetId="0">#REF!</definedName>
    <definedName name="TT.6" localSheetId="1">#REF!</definedName>
    <definedName name="TT.6">#REF!</definedName>
    <definedName name="TT.7" localSheetId="3">#REF!</definedName>
    <definedName name="TT.7" localSheetId="2">#REF!</definedName>
    <definedName name="TT.7" localSheetId="0">#REF!</definedName>
    <definedName name="TT.7" localSheetId="1">#REF!</definedName>
    <definedName name="TT.7">#REF!</definedName>
    <definedName name="TT.8" localSheetId="3">#REF!</definedName>
    <definedName name="TT.8" localSheetId="2">#REF!</definedName>
    <definedName name="TT.8" localSheetId="0">#REF!</definedName>
    <definedName name="TT.8" localSheetId="1">#REF!</definedName>
    <definedName name="TT.8">#REF!</definedName>
    <definedName name="TT.9" localSheetId="3">#REF!</definedName>
    <definedName name="TT.9" localSheetId="2">#REF!</definedName>
    <definedName name="TT.9" localSheetId="0">#REF!</definedName>
    <definedName name="TT.9" localSheetId="1">#REF!</definedName>
    <definedName name="TT.9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3"/>
  <c r="G29" s="1"/>
  <c r="G30" s="1"/>
  <c r="B29"/>
  <c r="B17"/>
  <c r="F288" i="18" l="1"/>
  <c r="F489" l="1"/>
  <c r="F488"/>
  <c r="F490" s="1"/>
  <c r="F486"/>
  <c r="F485"/>
  <c r="F374"/>
  <c r="F375" s="1"/>
  <c r="F376" s="1"/>
  <c r="F311"/>
  <c r="F310"/>
  <c r="F308"/>
  <c r="F307"/>
  <c r="F306"/>
  <c r="F291"/>
  <c r="F290"/>
  <c r="F287"/>
  <c r="F487" l="1"/>
  <c r="F492" s="1"/>
  <c r="F312"/>
  <c r="F289"/>
  <c r="F292"/>
  <c r="F309"/>
  <c r="F313" s="1"/>
  <c r="F314" s="1"/>
  <c r="F294" l="1"/>
  <c r="F512" l="1"/>
  <c r="F511"/>
  <c r="F509"/>
  <c r="F508"/>
  <c r="F510" s="1"/>
  <c r="F503"/>
  <c r="F504" s="1"/>
  <c r="F505" s="1"/>
  <c r="F506" s="1"/>
  <c r="F353"/>
  <c r="F351"/>
  <c r="F350"/>
  <c r="F348"/>
  <c r="F347"/>
  <c r="F346"/>
  <c r="F344"/>
  <c r="F343"/>
  <c r="F342"/>
  <c r="F513" l="1"/>
  <c r="F514" s="1"/>
  <c r="F515" s="1"/>
  <c r="F354"/>
  <c r="F349"/>
  <c r="F355" l="1"/>
  <c r="F356" s="1"/>
  <c r="F258" l="1"/>
  <c r="F259" s="1"/>
  <c r="F260" s="1"/>
  <c r="F261" s="1"/>
  <c r="F253"/>
  <c r="F252"/>
  <c r="F250"/>
  <c r="F251" s="1"/>
  <c r="F214"/>
  <c r="F213"/>
  <c r="F211"/>
  <c r="F212" s="1"/>
  <c r="F186"/>
  <c r="F183"/>
  <c r="F182"/>
  <c r="F180"/>
  <c r="F179"/>
  <c r="F178"/>
  <c r="F177"/>
  <c r="F156"/>
  <c r="F155"/>
  <c r="F153"/>
  <c r="F154" s="1"/>
  <c r="F254" l="1"/>
  <c r="F255" s="1"/>
  <c r="F256" s="1"/>
  <c r="F215"/>
  <c r="F216" s="1"/>
  <c r="F217" s="1"/>
  <c r="F157"/>
  <c r="F158" s="1"/>
  <c r="F159" s="1"/>
  <c r="F181"/>
  <c r="F184"/>
  <c r="F148" l="1"/>
  <c r="F147"/>
  <c r="F145"/>
  <c r="F144"/>
  <c r="F143"/>
  <c r="F63"/>
  <c r="F62"/>
  <c r="F60"/>
  <c r="F59"/>
  <c r="F58"/>
  <c r="F57"/>
  <c r="A28" i="13"/>
  <c r="C28"/>
  <c r="E28"/>
  <c r="F28"/>
  <c r="G28"/>
  <c r="A29"/>
  <c r="C29"/>
  <c r="D29"/>
  <c r="E29"/>
  <c r="F29"/>
  <c r="G29"/>
  <c r="H29"/>
  <c r="A21"/>
  <c r="C21"/>
  <c r="D21"/>
  <c r="E21"/>
  <c r="F21"/>
  <c r="G21"/>
  <c r="H21"/>
  <c r="A23"/>
  <c r="C23"/>
  <c r="E23"/>
  <c r="F23"/>
  <c r="G23"/>
  <c r="A39"/>
  <c r="D39"/>
  <c r="E39"/>
  <c r="F39"/>
  <c r="G39"/>
  <c r="H39"/>
  <c r="A18"/>
  <c r="C18"/>
  <c r="E18"/>
  <c r="F18"/>
  <c r="G18"/>
  <c r="A27"/>
  <c r="E27"/>
  <c r="F27"/>
  <c r="G27"/>
  <c r="A41"/>
  <c r="E41"/>
  <c r="F41"/>
  <c r="G41"/>
  <c r="A26"/>
  <c r="E26"/>
  <c r="F26"/>
  <c r="G26"/>
  <c r="A22"/>
  <c r="E22"/>
  <c r="F22"/>
  <c r="G22"/>
  <c r="A37"/>
  <c r="E37"/>
  <c r="F37"/>
  <c r="G37"/>
  <c r="A14"/>
  <c r="E14"/>
  <c r="F14"/>
  <c r="G14"/>
  <c r="A32"/>
  <c r="E32"/>
  <c r="F32"/>
  <c r="G32"/>
  <c r="A17"/>
  <c r="B17"/>
  <c r="C17"/>
  <c r="D17"/>
  <c r="E17"/>
  <c r="F17"/>
  <c r="G17"/>
  <c r="A31"/>
  <c r="C31"/>
  <c r="E31"/>
  <c r="F31"/>
  <c r="G31"/>
  <c r="A30"/>
  <c r="C30"/>
  <c r="E30"/>
  <c r="F30"/>
  <c r="G30"/>
  <c r="A16"/>
  <c r="C16"/>
  <c r="E16"/>
  <c r="F16"/>
  <c r="G16"/>
  <c r="A24"/>
  <c r="C24"/>
  <c r="E24"/>
  <c r="F24"/>
  <c r="G24"/>
  <c r="A33"/>
  <c r="B33"/>
  <c r="C33"/>
  <c r="E33"/>
  <c r="F33"/>
  <c r="G33"/>
  <c r="A15"/>
  <c r="C15"/>
  <c r="E15"/>
  <c r="F15"/>
  <c r="G15"/>
  <c r="A13"/>
  <c r="C13"/>
  <c r="E13"/>
  <c r="F13"/>
  <c r="G13"/>
  <c r="A25"/>
  <c r="C25"/>
  <c r="E25"/>
  <c r="F25"/>
  <c r="G25"/>
  <c r="A40"/>
  <c r="C40"/>
  <c r="E40"/>
  <c r="F40"/>
  <c r="G40"/>
  <c r="A19"/>
  <c r="E19"/>
  <c r="F19"/>
  <c r="G19"/>
  <c r="A20"/>
  <c r="E20"/>
  <c r="F20"/>
  <c r="G20"/>
  <c r="A42"/>
  <c r="E42"/>
  <c r="F42"/>
  <c r="G42"/>
  <c r="A34"/>
  <c r="C34"/>
  <c r="E34"/>
  <c r="F34"/>
  <c r="G34"/>
  <c r="A38"/>
  <c r="C38"/>
  <c r="E38"/>
  <c r="F38"/>
  <c r="G38"/>
  <c r="A35"/>
  <c r="C35"/>
  <c r="E35"/>
  <c r="F35"/>
  <c r="G35"/>
  <c r="A36"/>
  <c r="C36"/>
  <c r="E36"/>
  <c r="F36"/>
  <c r="G36"/>
  <c r="D30" i="11"/>
  <c r="D38"/>
  <c r="D55"/>
  <c r="D56"/>
  <c r="G38" i="2"/>
  <c r="D83" i="11"/>
  <c r="D82" i="2" s="1"/>
  <c r="B38"/>
  <c r="C38"/>
  <c r="G61"/>
  <c r="B61"/>
  <c r="B26" i="13" s="1"/>
  <c r="C61" i="2"/>
  <c r="C26" i="13" s="1"/>
  <c r="D62" i="11"/>
  <c r="D61" i="2" s="1"/>
  <c r="D26" i="13" s="1"/>
  <c r="B81" i="2"/>
  <c r="C81"/>
  <c r="G81"/>
  <c r="B82"/>
  <c r="C82"/>
  <c r="G82"/>
  <c r="D82" i="11"/>
  <c r="D81" i="2" s="1"/>
  <c r="G83" i="11"/>
  <c r="G82"/>
  <c r="D84"/>
  <c r="G84"/>
  <c r="D26"/>
  <c r="D27" s="1"/>
  <c r="D24"/>
  <c r="D28" s="1"/>
  <c r="D22"/>
  <c r="D49"/>
  <c r="D45"/>
  <c r="H84" l="1"/>
  <c r="F149" i="18"/>
  <c r="F146"/>
  <c r="F151" s="1"/>
  <c r="F64"/>
  <c r="F61"/>
  <c r="H82" i="11"/>
  <c r="H83"/>
  <c r="H81" i="2"/>
  <c r="H61"/>
  <c r="H26" i="13" s="1"/>
  <c r="H82" i="2"/>
  <c r="F65" i="18" l="1"/>
  <c r="F66" s="1"/>
  <c r="D38" i="2"/>
  <c r="H38" s="1"/>
  <c r="G38" i="11"/>
  <c r="H38" l="1"/>
  <c r="D25"/>
  <c r="D31"/>
  <c r="G32" i="2"/>
  <c r="B32"/>
  <c r="B25" i="13" s="1"/>
  <c r="D32" i="2" l="1"/>
  <c r="D25"/>
  <c r="D24" i="13" s="1"/>
  <c r="D87" i="11"/>
  <c r="D47"/>
  <c r="D46"/>
  <c r="D39"/>
  <c r="D37"/>
  <c r="D23"/>
  <c r="G64" i="2"/>
  <c r="B64"/>
  <c r="C64"/>
  <c r="G63"/>
  <c r="B63"/>
  <c r="B37" i="13" s="1"/>
  <c r="C63" i="2"/>
  <c r="C37" i="13" s="1"/>
  <c r="G64" i="11"/>
  <c r="H32" i="2" l="1"/>
  <c r="H25" i="13" s="1"/>
  <c r="D25"/>
  <c r="B56" i="2"/>
  <c r="C56"/>
  <c r="D56"/>
  <c r="B57"/>
  <c r="C57"/>
  <c r="D57"/>
  <c r="G56"/>
  <c r="G57"/>
  <c r="H56" l="1"/>
  <c r="H57"/>
  <c r="G53"/>
  <c r="B53"/>
  <c r="B18" i="13" s="1"/>
  <c r="G54" i="11"/>
  <c r="D54"/>
  <c r="D53" s="1"/>
  <c r="D70"/>
  <c r="G76" i="2"/>
  <c r="H76" s="1"/>
  <c r="D41" i="11"/>
  <c r="B23" i="2"/>
  <c r="B30" i="13" s="1"/>
  <c r="D21" i="11"/>
  <c r="H54" l="1"/>
  <c r="D53" i="2"/>
  <c r="F370" i="18"/>
  <c r="F369"/>
  <c r="F368"/>
  <c r="F363"/>
  <c r="F362"/>
  <c r="F360"/>
  <c r="F359"/>
  <c r="F358"/>
  <c r="F476"/>
  <c r="F475"/>
  <c r="F474"/>
  <c r="F477"/>
  <c r="H53" i="2" l="1"/>
  <c r="H18" i="13" s="1"/>
  <c r="D18"/>
  <c r="F364" i="18"/>
  <c r="F366" s="1"/>
  <c r="F371"/>
  <c r="F372" s="1"/>
  <c r="F478"/>
  <c r="F465"/>
  <c r="F466"/>
  <c r="F539" l="1"/>
  <c r="F540" s="1"/>
  <c r="F541" s="1"/>
  <c r="F542" s="1"/>
  <c r="F543" s="1"/>
  <c r="F533"/>
  <c r="F534" s="1"/>
  <c r="F535" s="1"/>
  <c r="F536" s="1"/>
  <c r="F537" s="1"/>
  <c r="F527"/>
  <c r="F526"/>
  <c r="F524"/>
  <c r="F523"/>
  <c r="F469"/>
  <c r="F468"/>
  <c r="F464"/>
  <c r="F463"/>
  <c r="F480"/>
  <c r="F479"/>
  <c r="F458"/>
  <c r="F457"/>
  <c r="F455"/>
  <c r="F454"/>
  <c r="F453"/>
  <c r="F452"/>
  <c r="F494"/>
  <c r="F317"/>
  <c r="F318"/>
  <c r="F319"/>
  <c r="F320"/>
  <c r="F321"/>
  <c r="F322"/>
  <c r="F323"/>
  <c r="F324"/>
  <c r="F327"/>
  <c r="F328"/>
  <c r="F467" l="1"/>
  <c r="F525"/>
  <c r="F459"/>
  <c r="F481"/>
  <c r="F470"/>
  <c r="F528"/>
  <c r="F456"/>
  <c r="F245"/>
  <c r="F244"/>
  <c r="F242"/>
  <c r="F243" s="1"/>
  <c r="F237"/>
  <c r="F238" s="1"/>
  <c r="F235"/>
  <c r="F236" s="1"/>
  <c r="F230"/>
  <c r="F229"/>
  <c r="F227"/>
  <c r="F226"/>
  <c r="F225"/>
  <c r="F224"/>
  <c r="F219"/>
  <c r="F220" s="1"/>
  <c r="F221" s="1"/>
  <c r="F222" s="1"/>
  <c r="F206"/>
  <c r="F205"/>
  <c r="F203"/>
  <c r="F204" s="1"/>
  <c r="F198"/>
  <c r="F197"/>
  <c r="F195"/>
  <c r="F196" s="1"/>
  <c r="F190"/>
  <c r="F191" s="1"/>
  <c r="F188"/>
  <c r="F189" s="1"/>
  <c r="F112"/>
  <c r="F113"/>
  <c r="F111"/>
  <c r="F167"/>
  <c r="F168"/>
  <c r="F169"/>
  <c r="F172"/>
  <c r="F171"/>
  <c r="F166"/>
  <c r="F161"/>
  <c r="F162" s="1"/>
  <c r="F163" s="1"/>
  <c r="F164" s="1"/>
  <c r="F138"/>
  <c r="F137"/>
  <c r="F135"/>
  <c r="F134"/>
  <c r="F133"/>
  <c r="F132"/>
  <c r="F127"/>
  <c r="F126"/>
  <c r="F124"/>
  <c r="F123"/>
  <c r="F122"/>
  <c r="F121"/>
  <c r="F529" l="1"/>
  <c r="F530" s="1"/>
  <c r="F114"/>
  <c r="F460"/>
  <c r="F461" s="1"/>
  <c r="F483"/>
  <c r="F471" s="1"/>
  <c r="F472" s="1"/>
  <c r="F231"/>
  <c r="F199"/>
  <c r="F200" s="1"/>
  <c r="F201" s="1"/>
  <c r="F207"/>
  <c r="F208" s="1"/>
  <c r="F209" s="1"/>
  <c r="F239"/>
  <c r="F240" s="1"/>
  <c r="F228"/>
  <c r="F246"/>
  <c r="F247" s="1"/>
  <c r="F248" s="1"/>
  <c r="F192"/>
  <c r="F193" s="1"/>
  <c r="F170"/>
  <c r="F173"/>
  <c r="F125"/>
  <c r="F139"/>
  <c r="F136"/>
  <c r="F128"/>
  <c r="F232" l="1"/>
  <c r="F233" s="1"/>
  <c r="F174"/>
  <c r="F175" s="1"/>
  <c r="F140"/>
  <c r="F141" s="1"/>
  <c r="F130"/>
  <c r="C40" i="16"/>
  <c r="C21"/>
  <c r="F116" i="18"/>
  <c r="F115"/>
  <c r="F99"/>
  <c r="F98"/>
  <c r="F96"/>
  <c r="F95"/>
  <c r="F94"/>
  <c r="F88"/>
  <c r="F89"/>
  <c r="F86"/>
  <c r="F85"/>
  <c r="F84"/>
  <c r="F117" l="1"/>
  <c r="F118" s="1"/>
  <c r="F119" s="1"/>
  <c r="F100"/>
  <c r="F97"/>
  <c r="F90"/>
  <c r="F87"/>
  <c r="F380"/>
  <c r="F381" s="1"/>
  <c r="F378"/>
  <c r="F379" s="1"/>
  <c r="F547"/>
  <c r="F548" s="1"/>
  <c r="F545"/>
  <c r="F546" s="1"/>
  <c r="F517"/>
  <c r="F498"/>
  <c r="F497"/>
  <c r="F495"/>
  <c r="F447"/>
  <c r="F446"/>
  <c r="F444"/>
  <c r="F443"/>
  <c r="F442"/>
  <c r="F441"/>
  <c r="F436"/>
  <c r="F435"/>
  <c r="F433"/>
  <c r="F432"/>
  <c r="F431"/>
  <c r="F430"/>
  <c r="F425"/>
  <c r="F424"/>
  <c r="F422"/>
  <c r="F421"/>
  <c r="F420"/>
  <c r="F415"/>
  <c r="F414"/>
  <c r="F413"/>
  <c r="F412"/>
  <c r="F410"/>
  <c r="F409"/>
  <c r="F408"/>
  <c r="F398"/>
  <c r="F397"/>
  <c r="F395"/>
  <c r="F394"/>
  <c r="F393"/>
  <c r="F392"/>
  <c r="F387"/>
  <c r="F388" s="1"/>
  <c r="F385"/>
  <c r="F386" s="1"/>
  <c r="F337"/>
  <c r="F338" s="1"/>
  <c r="F335"/>
  <c r="F334"/>
  <c r="F329"/>
  <c r="F326"/>
  <c r="F316"/>
  <c r="F301"/>
  <c r="F300"/>
  <c r="F298"/>
  <c r="F297"/>
  <c r="F296"/>
  <c r="F275"/>
  <c r="F276" s="1"/>
  <c r="F273"/>
  <c r="F274" s="1"/>
  <c r="F282"/>
  <c r="F283" s="1"/>
  <c r="F280"/>
  <c r="F281" s="1"/>
  <c r="F268"/>
  <c r="F267"/>
  <c r="F265"/>
  <c r="F264"/>
  <c r="F79"/>
  <c r="F78"/>
  <c r="F76"/>
  <c r="F77" s="1"/>
  <c r="F403"/>
  <c r="F404" s="1"/>
  <c r="F405" s="1"/>
  <c r="F406" s="1"/>
  <c r="F71"/>
  <c r="F70"/>
  <c r="F68"/>
  <c r="F69" s="1"/>
  <c r="F106"/>
  <c r="F107" s="1"/>
  <c r="F104"/>
  <c r="F105" s="1"/>
  <c r="F51"/>
  <c r="F50"/>
  <c r="F48"/>
  <c r="F47"/>
  <c r="F42"/>
  <c r="F43" s="1"/>
  <c r="F44" s="1"/>
  <c r="F45" s="1"/>
  <c r="F38"/>
  <c r="F39" s="1"/>
  <c r="F40" s="1"/>
  <c r="F33"/>
  <c r="F34" s="1"/>
  <c r="F31"/>
  <c r="F32" s="1"/>
  <c r="F27"/>
  <c r="F28" s="1"/>
  <c r="F29" s="1"/>
  <c r="F22"/>
  <c r="F21"/>
  <c r="F19"/>
  <c r="F18"/>
  <c r="F17"/>
  <c r="F16"/>
  <c r="F15"/>
  <c r="F518" l="1"/>
  <c r="F101"/>
  <c r="F102" s="1"/>
  <c r="F91"/>
  <c r="F92" s="1"/>
  <c r="F411"/>
  <c r="F448"/>
  <c r="F499"/>
  <c r="F382"/>
  <c r="F383" s="1"/>
  <c r="F266"/>
  <c r="F49"/>
  <c r="F72"/>
  <c r="F73" s="1"/>
  <c r="F74" s="1"/>
  <c r="F336"/>
  <c r="F340" s="1"/>
  <c r="F423"/>
  <c r="F437"/>
  <c r="F426"/>
  <c r="F416"/>
  <c r="F399"/>
  <c r="F80"/>
  <c r="F81" s="1"/>
  <c r="F82" s="1"/>
  <c r="F20"/>
  <c r="F52"/>
  <c r="F284"/>
  <c r="F285" s="1"/>
  <c r="F445"/>
  <c r="F23"/>
  <c r="F269"/>
  <c r="F302"/>
  <c r="F396"/>
  <c r="F434"/>
  <c r="F299"/>
  <c r="F325"/>
  <c r="F330"/>
  <c r="F496"/>
  <c r="F108"/>
  <c r="F109" s="1"/>
  <c r="F277"/>
  <c r="F278" s="1"/>
  <c r="F35"/>
  <c r="F36" s="1"/>
  <c r="F389"/>
  <c r="F390" s="1"/>
  <c r="F549"/>
  <c r="F550" s="1"/>
  <c r="E18" i="17"/>
  <c r="E23" s="1"/>
  <c r="F417" i="18" l="1"/>
  <c r="F418" s="1"/>
  <c r="F519"/>
  <c r="F520" s="1"/>
  <c r="F521" s="1"/>
  <c r="F427"/>
  <c r="F428" s="1"/>
  <c r="F449"/>
  <c r="F450" s="1"/>
  <c r="F500"/>
  <c r="F501" s="1"/>
  <c r="F270"/>
  <c r="F271" s="1"/>
  <c r="F53"/>
  <c r="F54" s="1"/>
  <c r="F400"/>
  <c r="F401" s="1"/>
  <c r="F438"/>
  <c r="F439" s="1"/>
  <c r="F331"/>
  <c r="F332" s="1"/>
  <c r="F24"/>
  <c r="F25" s="1"/>
  <c r="F304"/>
  <c r="G90" i="2" l="1"/>
  <c r="H90" s="1"/>
  <c r="B90"/>
  <c r="B21" i="13" s="1"/>
  <c r="B89" i="2"/>
  <c r="B29" i="13" s="1"/>
  <c r="G91" i="11"/>
  <c r="H91" s="1"/>
  <c r="G90"/>
  <c r="H90"/>
  <c r="G89" i="2"/>
  <c r="H89" s="1"/>
  <c r="G83"/>
  <c r="D83"/>
  <c r="D32" i="13" s="1"/>
  <c r="C83" i="2"/>
  <c r="C32" i="13" s="1"/>
  <c r="B83" i="2"/>
  <c r="B32" i="13" s="1"/>
  <c r="B80" i="2"/>
  <c r="B25" i="3" s="1"/>
  <c r="H88" i="2" l="1"/>
  <c r="H83"/>
  <c r="H80" l="1"/>
  <c r="C25" i="3" s="1"/>
  <c r="F25" s="1"/>
  <c r="F26" s="1"/>
  <c r="H32" i="13"/>
  <c r="D67" i="11"/>
  <c r="D63" s="1"/>
  <c r="D17"/>
  <c r="D94" s="1"/>
  <c r="G54" i="2" l="1"/>
  <c r="G30"/>
  <c r="G74"/>
  <c r="G75"/>
  <c r="D74"/>
  <c r="D75"/>
  <c r="D36" i="11"/>
  <c r="D54" i="2"/>
  <c r="H54" l="1"/>
  <c r="H75"/>
  <c r="H74"/>
  <c r="D29" l="1"/>
  <c r="D15" i="13" s="1"/>
  <c r="D66" i="11"/>
  <c r="D40" l="1"/>
  <c r="D42" s="1"/>
  <c r="D18"/>
  <c r="D64" s="1"/>
  <c r="D63" i="2" l="1"/>
  <c r="H64" i="11"/>
  <c r="D65"/>
  <c r="D44" i="16"/>
  <c r="C44"/>
  <c r="D40"/>
  <c r="D33"/>
  <c r="C33"/>
  <c r="D21"/>
  <c r="H63" i="2" l="1"/>
  <c r="H37" i="13" s="1"/>
  <c r="D37"/>
  <c r="D64" i="2"/>
  <c r="H64" s="1"/>
  <c r="B52"/>
  <c r="C52"/>
  <c r="D52"/>
  <c r="B55"/>
  <c r="B27" i="13" s="1"/>
  <c r="C55" i="2"/>
  <c r="C27" i="13" s="1"/>
  <c r="D55" i="2"/>
  <c r="D27" i="13" s="1"/>
  <c r="B58" i="2"/>
  <c r="C58"/>
  <c r="D58"/>
  <c r="B59"/>
  <c r="C59"/>
  <c r="D59"/>
  <c r="B60"/>
  <c r="B41" i="13" s="1"/>
  <c r="C60" i="2"/>
  <c r="C41" i="13" s="1"/>
  <c r="D60" i="2"/>
  <c r="D41" i="13" s="1"/>
  <c r="B62" i="2"/>
  <c r="B22" i="13" s="1"/>
  <c r="C62" i="2"/>
  <c r="C22" i="13" s="1"/>
  <c r="B65" i="2"/>
  <c r="C65"/>
  <c r="D65"/>
  <c r="B66"/>
  <c r="B14" i="13" s="1"/>
  <c r="C66" i="2"/>
  <c r="C14" i="13" s="1"/>
  <c r="D66" i="2"/>
  <c r="D14" i="13" s="1"/>
  <c r="B36" i="2"/>
  <c r="C36"/>
  <c r="B37"/>
  <c r="B19" i="13" s="1"/>
  <c r="C37" i="2"/>
  <c r="C19" i="13" s="1"/>
  <c r="B39" i="2"/>
  <c r="C39"/>
  <c r="B40"/>
  <c r="B20" i="13" s="1"/>
  <c r="C40" i="2"/>
  <c r="C20" i="13" s="1"/>
  <c r="B41" i="2"/>
  <c r="C41"/>
  <c r="B42"/>
  <c r="B42" i="13" s="1"/>
  <c r="C42" i="2"/>
  <c r="C42" i="13" s="1"/>
  <c r="D42" i="2"/>
  <c r="D42" i="13" s="1"/>
  <c r="G41" i="11"/>
  <c r="H41" s="1"/>
  <c r="G40"/>
  <c r="D40" i="2"/>
  <c r="D20" i="13" s="1"/>
  <c r="G39" i="11"/>
  <c r="H39" s="1"/>
  <c r="G37"/>
  <c r="D37" i="2"/>
  <c r="D19" i="13" s="1"/>
  <c r="G36" i="11"/>
  <c r="H36" s="1"/>
  <c r="G67"/>
  <c r="H67" s="1"/>
  <c r="G66"/>
  <c r="H66" s="1"/>
  <c r="G63"/>
  <c r="D62" i="2"/>
  <c r="D22" i="13" s="1"/>
  <c r="G61" i="11"/>
  <c r="H61" s="1"/>
  <c r="G60"/>
  <c r="H60" s="1"/>
  <c r="G59"/>
  <c r="H59" s="1"/>
  <c r="G56"/>
  <c r="H56" s="1"/>
  <c r="G53"/>
  <c r="H53" s="1"/>
  <c r="D93" i="2"/>
  <c r="D23" i="13" s="1"/>
  <c r="D41" i="2" l="1"/>
  <c r="D36"/>
  <c r="D39"/>
  <c r="H63" i="11"/>
  <c r="H37"/>
  <c r="H40"/>
  <c r="D16" i="2" l="1"/>
  <c r="D38" i="13" s="1"/>
  <c r="B16" i="2"/>
  <c r="B38" i="13" s="1"/>
  <c r="D86" i="2" l="1"/>
  <c r="D28" i="13" s="1"/>
  <c r="G27" i="2" l="1"/>
  <c r="B33"/>
  <c r="B40" i="13" s="1"/>
  <c r="G33" i="2"/>
  <c r="B27"/>
  <c r="B28"/>
  <c r="D27"/>
  <c r="H27" l="1"/>
  <c r="G70" l="1"/>
  <c r="G71"/>
  <c r="G72"/>
  <c r="G73"/>
  <c r="G77"/>
  <c r="G78"/>
  <c r="B77"/>
  <c r="B78"/>
  <c r="D78"/>
  <c r="G79" i="11"/>
  <c r="H79" s="1"/>
  <c r="D73" i="2"/>
  <c r="H73" l="1"/>
  <c r="H78"/>
  <c r="B23" i="3"/>
  <c r="G93" i="2" l="1"/>
  <c r="G33" i="11" l="1"/>
  <c r="G46" i="2" l="1"/>
  <c r="G49" l="1"/>
  <c r="G41" l="1"/>
  <c r="G42"/>
  <c r="D48" i="11"/>
  <c r="D50" s="1"/>
  <c r="G45" i="2"/>
  <c r="G48"/>
  <c r="G47"/>
  <c r="H42" l="1"/>
  <c r="H42" i="13" s="1"/>
  <c r="H41" i="2"/>
  <c r="B19" i="3"/>
  <c r="B45" i="2"/>
  <c r="C45"/>
  <c r="D45"/>
  <c r="B46"/>
  <c r="B39" i="13" s="1"/>
  <c r="C46" i="2"/>
  <c r="C39" i="13" s="1"/>
  <c r="B47" i="2"/>
  <c r="C47"/>
  <c r="D47"/>
  <c r="B48"/>
  <c r="C48"/>
  <c r="D48"/>
  <c r="B49"/>
  <c r="C49"/>
  <c r="D49"/>
  <c r="G48" i="11"/>
  <c r="G47"/>
  <c r="H47" s="1"/>
  <c r="G46"/>
  <c r="H46" s="1"/>
  <c r="G45"/>
  <c r="H45" s="1"/>
  <c r="H46" i="2" l="1"/>
  <c r="H49"/>
  <c r="H47"/>
  <c r="H45"/>
  <c r="H48"/>
  <c r="H48" i="11"/>
  <c r="H44" i="2" l="1"/>
  <c r="C19" i="3" s="1"/>
  <c r="G28" i="11"/>
  <c r="H28" s="1"/>
  <c r="D28" i="2"/>
  <c r="G28"/>
  <c r="D30"/>
  <c r="D31"/>
  <c r="D13" i="13" s="1"/>
  <c r="B31" i="2"/>
  <c r="B13" i="13" s="1"/>
  <c r="G31" i="2"/>
  <c r="G31" i="11"/>
  <c r="H31" s="1"/>
  <c r="F19" i="3" l="1"/>
  <c r="E19"/>
  <c r="E20" s="1"/>
  <c r="H30" i="2"/>
  <c r="H33" i="11"/>
  <c r="D33" i="2"/>
  <c r="D40" i="13" s="1"/>
  <c r="F20" i="3"/>
  <c r="H28" i="2"/>
  <c r="H31"/>
  <c r="H13" i="13" s="1"/>
  <c r="B30" i="2"/>
  <c r="G30" i="11"/>
  <c r="H30" s="1"/>
  <c r="G29" i="2"/>
  <c r="B29"/>
  <c r="B15" i="13" s="1"/>
  <c r="G29" i="11"/>
  <c r="H29" s="1"/>
  <c r="B93" i="2"/>
  <c r="B23" i="13" s="1"/>
  <c r="B86" i="2"/>
  <c r="B28" i="13" s="1"/>
  <c r="B69" i="2"/>
  <c r="B70"/>
  <c r="B71"/>
  <c r="B72"/>
  <c r="B73"/>
  <c r="B21"/>
  <c r="B22"/>
  <c r="B31" i="13" s="1"/>
  <c r="B24" i="2"/>
  <c r="B16" i="13" s="1"/>
  <c r="B25" i="2"/>
  <c r="B24" i="13" s="1"/>
  <c r="B15" i="2"/>
  <c r="B34" i="13" s="1"/>
  <c r="B17" i="2"/>
  <c r="B35" i="13" s="1"/>
  <c r="B18" i="2"/>
  <c r="B36" i="13" s="1"/>
  <c r="H33" i="2" l="1"/>
  <c r="H40" i="13" s="1"/>
  <c r="H29" i="2"/>
  <c r="H15" i="13" s="1"/>
  <c r="D15" i="2"/>
  <c r="D34" i="13" s="1"/>
  <c r="D17" i="2"/>
  <c r="D35" i="13" s="1"/>
  <c r="D18" i="2"/>
  <c r="D36" i="13" s="1"/>
  <c r="D21" i="2"/>
  <c r="D22"/>
  <c r="D31" i="13" s="1"/>
  <c r="D23" i="2"/>
  <c r="D30" i="13" s="1"/>
  <c r="D24" i="2"/>
  <c r="D16" i="13" s="1"/>
  <c r="D26" i="2"/>
  <c r="D33" i="13" s="1"/>
  <c r="D69" i="2"/>
  <c r="D70"/>
  <c r="D71"/>
  <c r="D72"/>
  <c r="D77"/>
  <c r="H70" l="1"/>
  <c r="H77"/>
  <c r="H72"/>
  <c r="H71"/>
  <c r="H93"/>
  <c r="H23" i="13" s="1"/>
  <c r="G94" i="11" l="1"/>
  <c r="H94" s="1"/>
  <c r="G87"/>
  <c r="H87" s="1"/>
  <c r="G78"/>
  <c r="H78" s="1"/>
  <c r="G74"/>
  <c r="H74" s="1"/>
  <c r="G73"/>
  <c r="H73" s="1"/>
  <c r="G72"/>
  <c r="H72" s="1"/>
  <c r="G71"/>
  <c r="H71" s="1"/>
  <c r="G70"/>
  <c r="H70" s="1"/>
  <c r="G26"/>
  <c r="H26" s="1"/>
  <c r="G25"/>
  <c r="H25" s="1"/>
  <c r="G24"/>
  <c r="H24" s="1"/>
  <c r="G23"/>
  <c r="H23" s="1"/>
  <c r="G22"/>
  <c r="H22" s="1"/>
  <c r="G21"/>
  <c r="H21" s="1"/>
  <c r="G18"/>
  <c r="H18" s="1"/>
  <c r="G17"/>
  <c r="H17" s="1"/>
  <c r="G16"/>
  <c r="H16" s="1"/>
  <c r="G15"/>
  <c r="H15" s="1"/>
  <c r="H14" l="1"/>
  <c r="B31" i="3"/>
  <c r="B27"/>
  <c r="B21"/>
  <c r="B15"/>
  <c r="B13"/>
  <c r="G86" i="2" l="1"/>
  <c r="G60"/>
  <c r="G62"/>
  <c r="G66"/>
  <c r="G65"/>
  <c r="G59"/>
  <c r="G58"/>
  <c r="G55"/>
  <c r="G52"/>
  <c r="H65" l="1"/>
  <c r="H86"/>
  <c r="H28" i="13" s="1"/>
  <c r="H52" i="2"/>
  <c r="H58"/>
  <c r="H62"/>
  <c r="H22" i="13" s="1"/>
  <c r="H55" i="2"/>
  <c r="H27" i="13" s="1"/>
  <c r="H59" i="2"/>
  <c r="H60"/>
  <c r="H41" i="13" s="1"/>
  <c r="H66" i="2"/>
  <c r="H14" i="13" s="1"/>
  <c r="H51" i="2" l="1"/>
  <c r="H85"/>
  <c r="C27" i="3" s="1"/>
  <c r="H92" i="2"/>
  <c r="C31" i="3" s="1"/>
  <c r="G26" i="2"/>
  <c r="G25"/>
  <c r="G24"/>
  <c r="G23"/>
  <c r="G22"/>
  <c r="G18"/>
  <c r="G17"/>
  <c r="G16"/>
  <c r="G15"/>
  <c r="H18" l="1"/>
  <c r="H36" i="13" s="1"/>
  <c r="G27" i="3"/>
  <c r="G28" s="1"/>
  <c r="F27"/>
  <c r="F28" s="1"/>
  <c r="G31"/>
  <c r="G32" s="1"/>
  <c r="H25" i="2"/>
  <c r="H24" i="13" s="1"/>
  <c r="H24" i="2"/>
  <c r="H16" i="13" s="1"/>
  <c r="H22" i="2"/>
  <c r="H31" i="13" s="1"/>
  <c r="H23" i="2"/>
  <c r="H30" i="13" s="1"/>
  <c r="H26" i="2"/>
  <c r="H33" i="13" s="1"/>
  <c r="G39" i="2" l="1"/>
  <c r="G40"/>
  <c r="H16"/>
  <c r="H38" i="13" s="1"/>
  <c r="H17" i="2"/>
  <c r="H35" i="13" s="1"/>
  <c r="H40" i="2" l="1"/>
  <c r="H20" i="13" s="1"/>
  <c r="H39" i="2"/>
  <c r="G69"/>
  <c r="G21"/>
  <c r="G37"/>
  <c r="G36"/>
  <c r="H15"/>
  <c r="H34" i="13" s="1"/>
  <c r="H14" i="2" l="1"/>
  <c r="H36"/>
  <c r="H69"/>
  <c r="H68" s="1"/>
  <c r="H37"/>
  <c r="H19" i="13" s="1"/>
  <c r="H21" i="2"/>
  <c r="H20" s="1"/>
  <c r="C15" i="3" s="1"/>
  <c r="C21"/>
  <c r="C13" l="1"/>
  <c r="H95" i="2"/>
  <c r="H35"/>
  <c r="C17" i="3" s="1"/>
  <c r="G21"/>
  <c r="F21"/>
  <c r="F22" s="1"/>
  <c r="G17" l="1"/>
  <c r="G18" s="1"/>
  <c r="F17"/>
  <c r="F18" s="1"/>
  <c r="E17"/>
  <c r="E18" s="1"/>
  <c r="H44" i="13"/>
  <c r="H17"/>
  <c r="G22" i="3"/>
  <c r="E13"/>
  <c r="C23"/>
  <c r="C34" s="1"/>
  <c r="E34" l="1"/>
  <c r="D25"/>
  <c r="D29"/>
  <c r="D17"/>
  <c r="I17" i="13"/>
  <c r="I39"/>
  <c r="I21"/>
  <c r="I29"/>
  <c r="I26"/>
  <c r="I25"/>
  <c r="I18"/>
  <c r="I32"/>
  <c r="I37"/>
  <c r="I42"/>
  <c r="I13"/>
  <c r="J13" s="1"/>
  <c r="I15"/>
  <c r="I40"/>
  <c r="I23"/>
  <c r="I41"/>
  <c r="I22"/>
  <c r="I27"/>
  <c r="I28"/>
  <c r="I14"/>
  <c r="J14" s="1"/>
  <c r="I30"/>
  <c r="I24"/>
  <c r="I33"/>
  <c r="I31"/>
  <c r="I16"/>
  <c r="I36"/>
  <c r="I35"/>
  <c r="I38"/>
  <c r="I20"/>
  <c r="I34"/>
  <c r="I19"/>
  <c r="E15" i="3"/>
  <c r="E16" s="1"/>
  <c r="G15"/>
  <c r="G34" s="1"/>
  <c r="F15"/>
  <c r="E14"/>
  <c r="F23"/>
  <c r="F16" l="1"/>
  <c r="F34"/>
  <c r="J15" i="13"/>
  <c r="J16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E36" i="3"/>
  <c r="G16"/>
  <c r="F24"/>
  <c r="D15"/>
  <c r="D19"/>
  <c r="D23"/>
  <c r="D13"/>
  <c r="D21"/>
  <c r="D31"/>
  <c r="D27"/>
  <c r="F36" l="1"/>
  <c r="G36" s="1"/>
</calcChain>
</file>

<file path=xl/sharedStrings.xml><?xml version="1.0" encoding="utf-8"?>
<sst xmlns="http://schemas.openxmlformats.org/spreadsheetml/2006/main" count="1546" uniqueCount="577">
  <si>
    <r>
      <t>PROGRAMA</t>
    </r>
    <r>
      <rPr>
        <sz val="10"/>
        <rFont val="Calibri"/>
        <family val="2"/>
      </rPr>
      <t>: ESPORTE E LAZER</t>
    </r>
  </si>
  <si>
    <t>BDI =</t>
  </si>
  <si>
    <t>ITEM</t>
  </si>
  <si>
    <t>DESCRIÇÃO</t>
  </si>
  <si>
    <t>UND</t>
  </si>
  <si>
    <t>QUANT.</t>
  </si>
  <si>
    <t>PREÇO UNIT. S/ BDI</t>
  </si>
  <si>
    <t>PREÇO UNIT. C/BDI</t>
  </si>
  <si>
    <t>PREÇO         TOTAL</t>
  </si>
  <si>
    <t>1.</t>
  </si>
  <si>
    <t>SERVIÇOS INICIAIS</t>
  </si>
  <si>
    <t>1.1</t>
  </si>
  <si>
    <t>m²</t>
  </si>
  <si>
    <t>1.2</t>
  </si>
  <si>
    <t>1.3</t>
  </si>
  <si>
    <t>2.</t>
  </si>
  <si>
    <t>2.1</t>
  </si>
  <si>
    <t>m³</t>
  </si>
  <si>
    <t>2.2</t>
  </si>
  <si>
    <t>3.</t>
  </si>
  <si>
    <t>3.1</t>
  </si>
  <si>
    <t>3.2</t>
  </si>
  <si>
    <t>3.3</t>
  </si>
  <si>
    <t>3.4</t>
  </si>
  <si>
    <t>3.5</t>
  </si>
  <si>
    <t>3.6</t>
  </si>
  <si>
    <t>4.</t>
  </si>
  <si>
    <t>4.1</t>
  </si>
  <si>
    <t>5.</t>
  </si>
  <si>
    <t>5.1</t>
  </si>
  <si>
    <t>5.2</t>
  </si>
  <si>
    <t>5.3</t>
  </si>
  <si>
    <t>5.4</t>
  </si>
  <si>
    <t>5.5</t>
  </si>
  <si>
    <t>5.6</t>
  </si>
  <si>
    <t>6.</t>
  </si>
  <si>
    <t>6.1</t>
  </si>
  <si>
    <t>7.</t>
  </si>
  <si>
    <t>7.1</t>
  </si>
  <si>
    <t>m</t>
  </si>
  <si>
    <t>TOTAL GERAL DA PLANILHA</t>
  </si>
  <si>
    <t>CRONOGRAMA FISICO FINANCEIRO</t>
  </si>
  <si>
    <t>ITENS AGRUPADORES</t>
  </si>
  <si>
    <t>VALOR</t>
  </si>
  <si>
    <t>%</t>
  </si>
  <si>
    <t>1ª PARCELA</t>
  </si>
  <si>
    <t>2ª PARCELA</t>
  </si>
  <si>
    <t>3ª PARCELA</t>
  </si>
  <si>
    <t>4ª PARCELA</t>
  </si>
  <si>
    <t>5ª PARCELA</t>
  </si>
  <si>
    <t>TOTAIS PARCIAIS</t>
  </si>
  <si>
    <t>TOTAIS ACUMULADOS</t>
  </si>
  <si>
    <t>TOTAL GERAL</t>
  </si>
  <si>
    <t>1.4</t>
  </si>
  <si>
    <t>und</t>
  </si>
  <si>
    <t>2.3</t>
  </si>
  <si>
    <t>2.4</t>
  </si>
  <si>
    <t>CONSTRUÇÃO DE ARQUIBANCADA</t>
  </si>
  <si>
    <t>6.2</t>
  </si>
  <si>
    <t>M³</t>
  </si>
  <si>
    <t>M</t>
  </si>
  <si>
    <t>4.2</t>
  </si>
  <si>
    <t>4.3</t>
  </si>
  <si>
    <t>4.4</t>
  </si>
  <si>
    <t>4.5</t>
  </si>
  <si>
    <t>LIMPEZA MECANIZADA DE TERRENO COM REMOCAO DE CAMADA VEGETAL, UTILIZANDO MOTONIVELADORA</t>
  </si>
  <si>
    <t>74209/001</t>
  </si>
  <si>
    <t>74210/001</t>
  </si>
  <si>
    <t>73822/002</t>
  </si>
  <si>
    <t>ESCAVACAO MANUAL DE VALAS EM TERRA COMPACTA, PROF. DE 0 M &lt; H &lt;= 1 M</t>
  </si>
  <si>
    <t>REATERRO MANUAL COM APILOAMENTO MECANICO</t>
  </si>
  <si>
    <t>CONTRAPISO/LASTRO DE CONCRETO NAO-ESTRUTURAL, E=5CM, PREPARO COM BETONEIRA</t>
  </si>
  <si>
    <t>73935/002</t>
  </si>
  <si>
    <t>73907/003</t>
  </si>
  <si>
    <t>73924/001</t>
  </si>
  <si>
    <t>ALVENARIA EM TIJOLO CERAMICO FURADO 9X19X19CM, 1 VEZ (ESPESSURA 19 CM), ASSENTADO EM ARGAMASSA TRACO 1:4 (CIMENTO E AREIA MEDIA NAO PENEIRADA), PREPARO MANUAL, JUNTA1 CM</t>
  </si>
  <si>
    <t>JOELHO 90 GRAUS, PVC, SOLDÁVEL, DN 25MM, INSTALADO EM RAMAL OU SUB-RAMAL DE ÁGUA FORNECIMENTO E INSTALAÇÃO . AF_12/2014_P</t>
  </si>
  <si>
    <t>TUBO, PVC, SOLDÁVEL, DN 25MM, INSTALADO EM RAMAL DE DISTRIBUIÇÃO DE ÁGUA FORNECIMENTO E INSTALAÇÃO. AF_12/2014_P</t>
  </si>
  <si>
    <t>TE, PVC, SOLDÁVEL, DN 25MM, INSTALADO EM RAMAL OU SUB-RAMAL DE ÁGUA FORNECIMENTO E INSTALAÇÃO. AF_12/2014_P</t>
  </si>
  <si>
    <t>REGISTRO DE GAVETA COM CANOPLA Ø 25MM (1) - FORNECIMENTO E INSTALAÇÃO</t>
  </si>
  <si>
    <t>74166/001</t>
  </si>
  <si>
    <t>CAIXA DE INSPEÇÃO EM CONCRETO PRÉ-MOLDADO DN 60MM COM TAMPA H= 60CM - FORNECIMENTO E INSTALACAO</t>
  </si>
  <si>
    <t>74238/002</t>
  </si>
  <si>
    <t>73922/001</t>
  </si>
  <si>
    <t>74124/008</t>
  </si>
  <si>
    <t>PLANILHA ORÇAMENTÁRIA</t>
  </si>
  <si>
    <r>
      <rPr>
        <b/>
        <sz val="10"/>
        <rFont val="Calibri"/>
        <family val="2"/>
      </rPr>
      <t>PROPONENTE:</t>
    </r>
    <r>
      <rPr>
        <sz val="10"/>
        <rFont val="Calibri"/>
        <family val="2"/>
      </rPr>
      <t xml:space="preserve"> PREFEITURADE SÃO LUÍS</t>
    </r>
  </si>
  <si>
    <r>
      <t>LOCAL:</t>
    </r>
    <r>
      <rPr>
        <sz val="10"/>
        <rFont val="Calibri"/>
        <family val="2"/>
      </rPr>
      <t xml:space="preserve"> SÃO LUÍS - MA</t>
    </r>
  </si>
  <si>
    <t>REFERENCIA SINAPI 02/2015</t>
  </si>
  <si>
    <t>PLACA DE OBRA</t>
  </si>
  <si>
    <t>TXKM</t>
  </si>
  <si>
    <t>74053/001</t>
  </si>
  <si>
    <t xml:space="preserve">REBOCO ARGAMASSA TRACO 1:2 </t>
  </si>
  <si>
    <t>FORNECIMENTO E INSTALACAO DE MANTA BIDIM RT - 14</t>
  </si>
  <si>
    <t>73840/004</t>
  </si>
  <si>
    <t>REATERRO COMPACTADO EM TERRA VEGETAL</t>
  </si>
  <si>
    <t>1 A 01 111 01</t>
  </si>
  <si>
    <t xml:space="preserve">APLICAÇÃO DE ADUBO </t>
  </si>
  <si>
    <t>URBANIZAÇÃO</t>
  </si>
  <si>
    <t>PISO TÁTIL ANTI DERRAPANTE</t>
  </si>
  <si>
    <t>LIMPEZA DA OBRA</t>
  </si>
  <si>
    <t>LIMPEZA FINAL DA OBRA</t>
  </si>
  <si>
    <t>ENTRADAS/ACESSOS/MURO/ ALAMBRADO</t>
  </si>
  <si>
    <t>73882/005</t>
  </si>
  <si>
    <t>REDE DE IRRIGAÇÃO DO CAMPO</t>
  </si>
  <si>
    <t>MEMÓRIA DE CÁLCULO</t>
  </si>
  <si>
    <t>% ACUMULADO</t>
  </si>
  <si>
    <t>DADOS DE CÁLCULO</t>
  </si>
  <si>
    <t>(3,00 X 2,00 ) X1</t>
  </si>
  <si>
    <t>VER PLANTA</t>
  </si>
  <si>
    <t>PLANTIO DE GRAMA ESMERALDA  EM ROLO</t>
  </si>
  <si>
    <t>Leis sociais = 87,49%</t>
  </si>
  <si>
    <r>
      <t>OBJETO:</t>
    </r>
    <r>
      <rPr>
        <sz val="10"/>
        <rFont val="Calibri"/>
        <family val="2"/>
      </rPr>
      <t xml:space="preserve"> REFORMA DO CAMPO DO COHATRAC</t>
    </r>
  </si>
  <si>
    <t>ENTRADAS/ACESSOS/MURRETA/ ALAMBRADO</t>
  </si>
  <si>
    <t xml:space="preserve">CONSTRUÇÃO DO CAMPO </t>
  </si>
  <si>
    <t>74143/002</t>
  </si>
  <si>
    <t>74143/003</t>
  </si>
  <si>
    <t>73983/001</t>
  </si>
  <si>
    <t xml:space="preserve">CONCRETO ARMADO FCK=15MPA, </t>
  </si>
  <si>
    <t xml:space="preserve">ALVENARIA DE VEDAÇÃO DE BLOCOS CERÂMICOS FURADOS NA VERTICAL DE 9X19X3 9CM (ESPESSURA 9CM) DE PAREDES COM ÁREA LÍQUIDA MAIOR OU IGUAL A 6M² SEM VÃOS E ARGAMASSA DE ASSENTAMENTO COM PREPARO EM BETONEIRA. </t>
  </si>
  <si>
    <t>74143/004</t>
  </si>
  <si>
    <t>ALAMBRADO PARA QUADRA POLIESPORTIVA, ESTRUTURADO POR TUBOS DE ACO GALVANIZADO, COM COSTURA, DIN 2440, DIAMETRO 2", COM TELA DE ARAME GALVANIZADO, FIO 14 BWG E MALHA QUADRADA 5X5CM</t>
  </si>
  <si>
    <t>74244/001</t>
  </si>
  <si>
    <t>5.7</t>
  </si>
  <si>
    <t>5.8</t>
  </si>
  <si>
    <t>5.10</t>
  </si>
  <si>
    <t>6.3</t>
  </si>
  <si>
    <t>6.4</t>
  </si>
  <si>
    <t>6.5</t>
  </si>
  <si>
    <t>6.6</t>
  </si>
  <si>
    <t>8.</t>
  </si>
  <si>
    <t>8.1</t>
  </si>
  <si>
    <t>CONSTRUÇÃO DO BANCO DE RESERVA (2X)</t>
  </si>
  <si>
    <t>CONSTRUÇÃO DE ARQUIBANCADA - (2x)</t>
  </si>
  <si>
    <t>CONSTRUÇÃO DO BANCO DE RESERVA - (2x)</t>
  </si>
  <si>
    <t>2.6</t>
  </si>
  <si>
    <t xml:space="preserve">74198/001 </t>
  </si>
  <si>
    <t>EXECUCAO DE DRENO COM TUBOS DE PVC CORRUGADO FLEXIVEL PERFURADO - DN 100</t>
  </si>
  <si>
    <t>2.7</t>
  </si>
  <si>
    <t>2.8</t>
  </si>
  <si>
    <t>2.9</t>
  </si>
  <si>
    <t>2.10</t>
  </si>
  <si>
    <t>2.11</t>
  </si>
  <si>
    <t>2.12</t>
  </si>
  <si>
    <t>74143/006</t>
  </si>
  <si>
    <t xml:space="preserve">SUMIDOURO EM ALVENARIA DE TIJOLO CERAMICO MACICO </t>
  </si>
  <si>
    <t>6.7</t>
  </si>
  <si>
    <t>TORNEIRA PLÁSTICA 3/4" PARA TANQUE - FORNECIMENTO E INSTALAÇÃO</t>
  </si>
  <si>
    <t>PIS</t>
  </si>
  <si>
    <t>ALUGUEL CONTAINER</t>
  </si>
  <si>
    <t>73847/001</t>
  </si>
  <si>
    <t>MÊS</t>
  </si>
  <si>
    <t>74100/001</t>
  </si>
  <si>
    <t>mês</t>
  </si>
  <si>
    <t>-</t>
  </si>
  <si>
    <t>DATA BASE:</t>
  </si>
  <si>
    <t>DATA:</t>
  </si>
  <si>
    <t>REVISÃO:</t>
  </si>
  <si>
    <t>DISCRIMINAÇÃO</t>
  </si>
  <si>
    <t>ISS(Obs. Perc. da Localid.) 5% em 50% do Preço Venda</t>
  </si>
  <si>
    <t>COFINS</t>
  </si>
  <si>
    <t>NOTAS:</t>
  </si>
  <si>
    <t>1 - Alíquota do ISS é determinada pela "Relação de Serviços" do município onde se prestará o serviço conforme art. 1° e art. 8° da Lei Complementar n° 116/2001;</t>
  </si>
  <si>
    <t>2- Alíquota máxima de PIS é de até 1,65% conforme Lei n°10.637/02 em consonância ao Regime de Tributação da Empresa;</t>
  </si>
  <si>
    <t xml:space="preserve">     =</t>
  </si>
  <si>
    <t>PREFEITURA MUNICIPAL DE SÃO LUIS-MA</t>
  </si>
  <si>
    <t xml:space="preserve">TÍTULO: </t>
  </si>
  <si>
    <t xml:space="preserve">PROJETO:    </t>
  </si>
  <si>
    <t>PLANILHA DE COMPOSIÇÃO DO PERCENTUAL DE BONIFICAÇÃO E DESPESAS INDIRETAS - BDI</t>
  </si>
  <si>
    <t>11-15</t>
  </si>
  <si>
    <t>01-16</t>
  </si>
  <si>
    <t>CURVA ABC</t>
  </si>
  <si>
    <t xml:space="preserve">CONTRATO Nº : </t>
  </si>
  <si>
    <t>COMPOSIÇÃO DOS ENCARGOS SOCIAIS SOBRE A MÃO DE OBRA</t>
  </si>
  <si>
    <t xml:space="preserve">ITEM </t>
  </si>
  <si>
    <t>HORISTA %</t>
  </si>
  <si>
    <t>MENSALISTA%</t>
  </si>
  <si>
    <r>
      <rPr>
        <b/>
        <sz val="10"/>
        <color indexed="8"/>
        <rFont val="Arial"/>
        <family val="2"/>
      </rPr>
      <t>GRUPO A</t>
    </r>
    <r>
      <rPr>
        <sz val="10"/>
        <rFont val="Arial"/>
        <family val="2"/>
      </rPr>
      <t xml:space="preserve"> </t>
    </r>
  </si>
  <si>
    <t>A1</t>
  </si>
  <si>
    <r>
      <rPr>
        <sz val="10"/>
        <color indexed="8"/>
        <rFont val="Arial"/>
        <family val="2"/>
      </rPr>
      <t xml:space="preserve">INSS </t>
    </r>
    <r>
      <rPr>
        <sz val="10"/>
        <rFont val="Arial"/>
        <family val="2"/>
      </rPr>
      <t xml:space="preserve"> </t>
    </r>
  </si>
  <si>
    <t>A2</t>
  </si>
  <si>
    <r>
      <rPr>
        <sz val="10"/>
        <color indexed="8"/>
        <rFont val="Arial"/>
        <family val="2"/>
      </rPr>
      <t>SESI</t>
    </r>
    <r>
      <rPr>
        <sz val="10"/>
        <rFont val="Arial"/>
        <family val="2"/>
      </rPr>
      <t xml:space="preserve"> </t>
    </r>
  </si>
  <si>
    <t>A3</t>
  </si>
  <si>
    <r>
      <rPr>
        <sz val="10"/>
        <color indexed="8"/>
        <rFont val="Arial"/>
        <family val="2"/>
      </rPr>
      <t>SENAI</t>
    </r>
    <r>
      <rPr>
        <sz val="10"/>
        <rFont val="Arial"/>
        <family val="2"/>
      </rPr>
      <t xml:space="preserve"> </t>
    </r>
  </si>
  <si>
    <t>A4</t>
  </si>
  <si>
    <r>
      <rPr>
        <sz val="10"/>
        <color indexed="8"/>
        <rFont val="Arial"/>
        <family val="2"/>
      </rPr>
      <t xml:space="preserve">INCRA </t>
    </r>
    <r>
      <rPr>
        <sz val="10"/>
        <rFont val="Arial"/>
        <family val="2"/>
      </rPr>
      <t xml:space="preserve"> </t>
    </r>
  </si>
  <si>
    <t>A5</t>
  </si>
  <si>
    <r>
      <rPr>
        <sz val="10"/>
        <color indexed="8"/>
        <rFont val="Arial"/>
        <family val="2"/>
      </rPr>
      <t xml:space="preserve">SEBRAE </t>
    </r>
    <r>
      <rPr>
        <sz val="10"/>
        <rFont val="Arial"/>
        <family val="2"/>
      </rPr>
      <t xml:space="preserve"> </t>
    </r>
  </si>
  <si>
    <t>A6</t>
  </si>
  <si>
    <r>
      <rPr>
        <sz val="10"/>
        <color indexed="8"/>
        <rFont val="Arial"/>
        <family val="2"/>
      </rPr>
      <t xml:space="preserve">Salário Educação </t>
    </r>
    <r>
      <rPr>
        <sz val="10"/>
        <rFont val="Arial"/>
        <family val="2"/>
      </rPr>
      <t xml:space="preserve"> </t>
    </r>
  </si>
  <si>
    <t>A7</t>
  </si>
  <si>
    <r>
      <rPr>
        <sz val="10"/>
        <color indexed="8"/>
        <rFont val="Arial"/>
        <family val="2"/>
      </rPr>
      <t xml:space="preserve">Seguro Acidente De Trabalho </t>
    </r>
    <r>
      <rPr>
        <sz val="10"/>
        <rFont val="Arial"/>
        <family val="2"/>
      </rPr>
      <t xml:space="preserve"> </t>
    </r>
  </si>
  <si>
    <t>A8</t>
  </si>
  <si>
    <r>
      <rPr>
        <sz val="10"/>
        <color indexed="8"/>
        <rFont val="Arial"/>
        <family val="2"/>
      </rPr>
      <t xml:space="preserve">FGTS </t>
    </r>
    <r>
      <rPr>
        <sz val="10"/>
        <rFont val="Arial"/>
        <family val="2"/>
      </rPr>
      <t xml:space="preserve"> </t>
    </r>
  </si>
  <si>
    <t>A9</t>
  </si>
  <si>
    <t>SECONCI</t>
  </si>
  <si>
    <r>
      <rPr>
        <b/>
        <sz val="10"/>
        <color indexed="8"/>
        <rFont val="Arial"/>
        <family val="2"/>
      </rPr>
      <t xml:space="preserve">TOTAL DO GRUPO A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</si>
  <si>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GRUPO B </t>
    </r>
    <r>
      <rPr>
        <sz val="10"/>
        <rFont val="Arial"/>
        <family val="2"/>
      </rPr>
      <t xml:space="preserve"> </t>
    </r>
  </si>
  <si>
    <t>B1</t>
  </si>
  <si>
    <r>
      <rPr>
        <sz val="10"/>
        <color indexed="8"/>
        <rFont val="Arial"/>
        <family val="2"/>
      </rPr>
      <t xml:space="preserve">Repouso Remunerado </t>
    </r>
    <r>
      <rPr>
        <sz val="10"/>
        <rFont val="Arial"/>
        <family val="2"/>
      </rPr>
      <t xml:space="preserve"> </t>
    </r>
  </si>
  <si>
    <t>B2</t>
  </si>
  <si>
    <t xml:space="preserve">Feriados </t>
  </si>
  <si>
    <t>B3</t>
  </si>
  <si>
    <r>
      <rPr>
        <sz val="10"/>
        <color indexed="8"/>
        <rFont val="Arial"/>
        <family val="2"/>
      </rPr>
      <t xml:space="preserve">Auxilio Enfermidade </t>
    </r>
    <r>
      <rPr>
        <sz val="10"/>
        <rFont val="Arial"/>
        <family val="2"/>
      </rPr>
      <t xml:space="preserve"> </t>
    </r>
  </si>
  <si>
    <t>B4</t>
  </si>
  <si>
    <r>
      <rPr>
        <sz val="10"/>
        <color indexed="8"/>
        <rFont val="Arial"/>
        <family val="2"/>
      </rPr>
      <t xml:space="preserve">13º Salário </t>
    </r>
    <r>
      <rPr>
        <sz val="10"/>
        <rFont val="Arial"/>
        <family val="2"/>
      </rPr>
      <t xml:space="preserve"> </t>
    </r>
  </si>
  <si>
    <t>B5</t>
  </si>
  <si>
    <r>
      <rPr>
        <sz val="10"/>
        <color indexed="8"/>
        <rFont val="Arial"/>
        <family val="2"/>
      </rPr>
      <t xml:space="preserve">Licença Paternidade </t>
    </r>
    <r>
      <rPr>
        <sz val="10"/>
        <rFont val="Arial"/>
        <family val="2"/>
      </rPr>
      <t xml:space="preserve"> </t>
    </r>
  </si>
  <si>
    <t>B6</t>
  </si>
  <si>
    <r>
      <rPr>
        <sz val="10"/>
        <color indexed="8"/>
        <rFont val="Arial"/>
        <family val="2"/>
      </rPr>
      <t xml:space="preserve">Faltas Justificadas </t>
    </r>
    <r>
      <rPr>
        <sz val="10"/>
        <rFont val="Arial"/>
        <family val="2"/>
      </rPr>
      <t xml:space="preserve"> </t>
    </r>
  </si>
  <si>
    <t>B7</t>
  </si>
  <si>
    <t>Dias de chuva</t>
  </si>
  <si>
    <t>B8</t>
  </si>
  <si>
    <r>
      <rPr>
        <sz val="10"/>
        <color indexed="8"/>
        <rFont val="Arial"/>
        <family val="2"/>
      </rPr>
      <t xml:space="preserve">Auxilio acidente de Trabalho </t>
    </r>
    <r>
      <rPr>
        <sz val="10"/>
        <rFont val="Arial"/>
        <family val="2"/>
      </rPr>
      <t xml:space="preserve"> </t>
    </r>
  </si>
  <si>
    <t>B9</t>
  </si>
  <si>
    <t>Férias Gozadas</t>
  </si>
  <si>
    <t>B10</t>
  </si>
  <si>
    <t>Salario Maternidade</t>
  </si>
  <si>
    <r>
      <rPr>
        <b/>
        <sz val="10"/>
        <color indexed="8"/>
        <rFont val="Arial"/>
        <family val="2"/>
      </rPr>
      <t xml:space="preserve">TOTAL GRUPO B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</si>
  <si>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GRUPO C </t>
    </r>
    <r>
      <rPr>
        <sz val="10"/>
        <rFont val="Arial"/>
        <family val="2"/>
      </rPr>
      <t xml:space="preserve"> </t>
    </r>
  </si>
  <si>
    <t>C1</t>
  </si>
  <si>
    <r>
      <rPr>
        <sz val="10"/>
        <color indexed="8"/>
        <rFont val="Arial"/>
        <family val="2"/>
      </rPr>
      <t xml:space="preserve">Depósito de Rescisão Contrato Trabalho sem Justo Causa </t>
    </r>
    <r>
      <rPr>
        <sz val="10"/>
        <rFont val="Arial"/>
        <family val="2"/>
      </rPr>
      <t xml:space="preserve"> </t>
    </r>
  </si>
  <si>
    <t>C2</t>
  </si>
  <si>
    <r>
      <rPr>
        <sz val="10"/>
        <color indexed="8"/>
        <rFont val="Arial"/>
        <family val="2"/>
      </rPr>
      <t xml:space="preserve">Aviso Prévio Indenizado </t>
    </r>
    <r>
      <rPr>
        <sz val="10"/>
        <rFont val="Arial"/>
        <family val="2"/>
      </rPr>
      <t xml:space="preserve"> </t>
    </r>
  </si>
  <si>
    <t>C3</t>
  </si>
  <si>
    <r>
      <rPr>
        <sz val="10"/>
        <color indexed="8"/>
        <rFont val="Arial"/>
        <family val="2"/>
      </rPr>
      <t xml:space="preserve">Aviso Prévio Trabalhado </t>
    </r>
    <r>
      <rPr>
        <sz val="10"/>
        <rFont val="Arial"/>
        <family val="2"/>
      </rPr>
      <t xml:space="preserve"> </t>
    </r>
  </si>
  <si>
    <t>C4</t>
  </si>
  <si>
    <t>Férias Indenizadas</t>
  </si>
  <si>
    <t>C5</t>
  </si>
  <si>
    <r>
      <rPr>
        <sz val="10"/>
        <color indexed="8"/>
        <rFont val="Arial"/>
        <family val="2"/>
      </rPr>
      <t xml:space="preserve">Indenização Adicional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</si>
  <si>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TOTAL GRUPO C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</si>
  <si>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GRUPO D </t>
    </r>
    <r>
      <rPr>
        <sz val="10"/>
        <rFont val="Arial"/>
        <family val="2"/>
      </rPr>
      <t xml:space="preserve"> </t>
    </r>
  </si>
  <si>
    <t>D1</t>
  </si>
  <si>
    <r>
      <t>Rei</t>
    </r>
    <r>
      <rPr>
        <sz val="10"/>
        <color indexed="8"/>
        <rFont val="Arial"/>
        <family val="2"/>
      </rPr>
      <t xml:space="preserve">ncidência do Grupo A sobre B </t>
    </r>
    <r>
      <rPr>
        <sz val="10"/>
        <rFont val="Arial"/>
        <family val="2"/>
      </rPr>
      <t xml:space="preserve"> </t>
    </r>
  </si>
  <si>
    <t>D2</t>
  </si>
  <si>
    <t>Reincidência de Grupo A sobre Aviso Prévio Trabalhado e Reincidência do FGTS sobre Aviso Prévio Indenizado</t>
  </si>
  <si>
    <r>
      <rPr>
        <b/>
        <sz val="10"/>
        <color indexed="8"/>
        <rFont val="Arial"/>
        <family val="2"/>
      </rPr>
      <t xml:space="preserve">TOTAL GRUPO D </t>
    </r>
    <r>
      <rPr>
        <sz val="10"/>
        <rFont val="Arial"/>
        <family val="2"/>
      </rPr>
      <t xml:space="preserve"> </t>
    </r>
  </si>
  <si>
    <t>GRUPO E</t>
  </si>
  <si>
    <t>E1</t>
  </si>
  <si>
    <t>TOTAL DOS ENCARGOS SOCIAIS COMPLEMENTARES</t>
  </si>
  <si>
    <t>TOTAL (A+B+C+D+E)</t>
  </si>
  <si>
    <t>OBS: *Grupo E deverá ser apropriado como item do custo direto</t>
  </si>
  <si>
    <t>ESCAVACAO MANUAL A CEU ABERTO EM MATERIAL DE 1A CATEGORIA, EM PROFUNDIDA DE ATE 0,50M</t>
  </si>
  <si>
    <t>ESPALHAMENTO COM MOTONIVELADORA</t>
  </si>
  <si>
    <t>74153/001</t>
  </si>
  <si>
    <t>CAMADA DRENANTE COM BRITA NUM 2</t>
  </si>
  <si>
    <t>5.9</t>
  </si>
  <si>
    <t>2,00x2,10</t>
  </si>
  <si>
    <t>(9,2X1,1)+(8X0,8)X2</t>
  </si>
  <si>
    <t>(10,27x8x3)+(40,26x3)</t>
  </si>
  <si>
    <t>(28,07X3)+(1,20X2)x0,40x0,40x2</t>
  </si>
  <si>
    <t>JOELHO 90 GRAUS, PVC, SOLDÁVEL, DN 25MM, X 3/4"</t>
  </si>
  <si>
    <t>TE, PVC, SOLDÁVEL, DN 25MM, X 3/4", INSTALADO EM RAMAL OU SUB-RAMAL DE ÁGUA FORNECIMENTO E INSTALAÇÃO. AF_12/2014_P</t>
  </si>
  <si>
    <t>REFERENCIA SINAPI 02/2016</t>
  </si>
  <si>
    <t>80x43,80</t>
  </si>
  <si>
    <t>80x43,80x0,10</t>
  </si>
  <si>
    <t>62,00x42,00</t>
  </si>
  <si>
    <t>62,00x42,00x0,15</t>
  </si>
  <si>
    <t>ÁREA DE VOLEY DE AREIA</t>
  </si>
  <si>
    <t>AREIA MEDIA - POSTO JAZIDA/FORNECEDOR</t>
  </si>
  <si>
    <t>9.</t>
  </si>
  <si>
    <t>9.1</t>
  </si>
  <si>
    <t>DETALHES ESPORTIVOS</t>
  </si>
  <si>
    <t>9.2</t>
  </si>
  <si>
    <t>10.</t>
  </si>
  <si>
    <t>10.1</t>
  </si>
  <si>
    <t xml:space="preserve">CONJUNTO P/VOLEI(POSTES FOGO H=255 REDE NYLON 2 MM </t>
  </si>
  <si>
    <t>CONJUNTO PARA FUTSAL ( PAR DE TRAVES OFICIAL - 3,00X2,00M - EM TUBO DE AÇO GALV A FOGO 3" COM UM REQUADRO E REDES POLIETILENO FIO 4MM).</t>
  </si>
  <si>
    <t xml:space="preserve">und </t>
  </si>
  <si>
    <t>6.8</t>
  </si>
  <si>
    <t>6.9</t>
  </si>
  <si>
    <r>
      <t xml:space="preserve">Importa o presente orçamento em: R$ 249.232,650 </t>
    </r>
    <r>
      <rPr>
        <sz val="9"/>
        <rFont val="Calibri"/>
        <family val="2"/>
      </rPr>
      <t>(Duzentos e quarenta e nove mil seiscentos e trinta e dois reais)</t>
    </r>
  </si>
  <si>
    <r>
      <t xml:space="preserve">Local/data  - </t>
    </r>
    <r>
      <rPr>
        <sz val="9"/>
        <rFont val="Calibri"/>
        <family val="2"/>
      </rPr>
      <t>São Luis,30/03/2016</t>
    </r>
  </si>
  <si>
    <t>ADMINISTRAÇÃO CENTRAL (AC)</t>
  </si>
  <si>
    <t>DESPESAS FINANCEIRAS (DF)</t>
  </si>
  <si>
    <t>SEGURO (S)</t>
  </si>
  <si>
    <t>RISCOS E IMPREVISTOS (RI)</t>
  </si>
  <si>
    <t>LUCRO BRUTO (L)</t>
  </si>
  <si>
    <t>TRIBUTOS (TR)</t>
  </si>
  <si>
    <t>INSS</t>
  </si>
  <si>
    <t xml:space="preserve">    Construção do Campo de Futebol E Vôlei de Areia do Cohatrac III</t>
  </si>
  <si>
    <r>
      <t>FONTE DE COMPOSIÇÃO DOS PREÇOS UNITARIOS - DATA BASE :</t>
    </r>
    <r>
      <rPr>
        <sz val="10"/>
        <rFont val="Calibri"/>
        <family val="2"/>
      </rPr>
      <t xml:space="preserve"> SINAPI DESONERADO - FEVEREIRO - 2016</t>
    </r>
  </si>
  <si>
    <t>COMPOSIÇÕES DE CUSTO UNITÁRIO</t>
  </si>
  <si>
    <t>DESCRIÇÃO DOS SERVIÇOS</t>
  </si>
  <si>
    <t>UNID.</t>
  </si>
  <si>
    <t>INDICE</t>
  </si>
  <si>
    <t>V.UNIT</t>
  </si>
  <si>
    <t>V.TOTAL</t>
  </si>
  <si>
    <t>001.01</t>
  </si>
  <si>
    <t>PLACA DE OBRA EM CHAPA DE ACO GALVANIZADO</t>
  </si>
  <si>
    <t>M2</t>
  </si>
  <si>
    <t>4417 - PECA DE MADEIRA DE LEI *2,5 X 7,5* CM (1" X 3"),  NÃO APARELHADA, (P/TELHADO)</t>
  </si>
  <si>
    <t>4491 - PECA DE MADEIRA NATIVA / REGIONAL 7,5 X 7,5CM (3X3) NAO APARELHADA (P/FORMA)</t>
  </si>
  <si>
    <t>4813 - PLACA DE OBRA (PARA CONSTRUCAO CIVIL) EM CHAPA GALVANIZADA *Nº 22*, DE *2,0 X 1,125* M</t>
  </si>
  <si>
    <t>5075 - PREGO POLIDO COM CABECA 18 X 30</t>
  </si>
  <si>
    <t>KG</t>
  </si>
  <si>
    <t>5652 - CONCRETO NAO ESTRUTURAL, CONSUMO 150KG/M3, PREPARO COM BETONEIRA, SEM LANCAMENTO</t>
  </si>
  <si>
    <t>M3</t>
  </si>
  <si>
    <t>Soma dos Materiais</t>
  </si>
  <si>
    <t>88262 - CARPINTEIRO DE FORMAS COM ENCARGOS COMPLEMENTARES</t>
  </si>
  <si>
    <t>H</t>
  </si>
  <si>
    <t>88316 - SERVENTE COM ENCARGOS COMPLEMENTARES</t>
  </si>
  <si>
    <t>Soma Equipamentos / Subempreiteiros</t>
  </si>
  <si>
    <t>Soma dos Insumos</t>
  </si>
  <si>
    <t>Total da CPU</t>
  </si>
  <si>
    <t>001.02</t>
  </si>
  <si>
    <t>10776 - CONTAINER 2,30 X 6,00 M, ALT. 2,50 M, PARA ESCRITORIO, SEM
DIVISORIAS INTERNAS E SEM SANITARIO (LOCACAO)</t>
  </si>
  <si>
    <t>001.03</t>
  </si>
  <si>
    <t>5932- MOTONIVELADORA POTÊNCIA BÁSICA LÍQUIDA (PRIMEIRA MARCHA) 125 HP,PESO BRUTO 13032 KG, LARGURA DA LÂMINA DE 3,7 M - CHP DIURNO.</t>
  </si>
  <si>
    <t>CHP</t>
  </si>
  <si>
    <t>5811 - CAMINHÃO BASCULANTE 6 M3, PESO BRUTO TOTAL 16.000 KG, CARGA ÚTIL MÁXIMA 13.071 KG, DISTÂNCIA ENTRE EIXOS 4,80 M, POTÊNCIA 230 CV
INCLUSIVE CAÇAMBA METÁLICA - CHP DIURNO. AF_06/2014</t>
  </si>
  <si>
    <t>002.01</t>
  </si>
  <si>
    <t>ESCAVACAO MANUAL DE VALAS EM TERRA COMPACTA, PROF. DE 0 M &lt; H &lt;= 1M</t>
  </si>
  <si>
    <t xml:space="preserve">88316 -  SERVENTE COM ENCARGOS COMPLEMENTARES </t>
  </si>
  <si>
    <t xml:space="preserve">H </t>
  </si>
  <si>
    <t>ALVENARIA EM TIJOLO CERAMICO FURADO 9X19X19CM, 1 VEZ (ESPESSURA 19 CM) , ASSENTADO EM ARGAMASSA TRACO 1:4 (CIMENTO E AREIA MEDIA NAO PENEIRADA), PREPARO MANUAL, JUNTA1 CM</t>
  </si>
  <si>
    <t>7271 - BLOCO CERAMICO (ALVENARIA DE VEDACAO), 8 FUROS, DE 9 X 19 X 19 CM</t>
  </si>
  <si>
    <t>UN</t>
  </si>
  <si>
    <t>87373 - ARGAMASSA TRAÇO 1:4 (CIMENTO E AREIA MÉDIA) PARA CONTRAPISO, PREPARO MANUAL.</t>
  </si>
  <si>
    <t>88309 - PEDREIRO COM ENCARGOS COMPLEMENTARES</t>
  </si>
  <si>
    <t>002.03</t>
  </si>
  <si>
    <t>1443 - COMPACTADOR DE SOLOS COM PLACA VIBRATORIA, DE 135 A 156 KG, COM MOTOR A DIESEL OU GASOLINA DE 4 A 6 HP, NAO REVERSIVEL (LOCACAO)</t>
  </si>
  <si>
    <t>002.04</t>
  </si>
  <si>
    <t>002.05</t>
  </si>
  <si>
    <t>002.06</t>
  </si>
  <si>
    <t>L</t>
  </si>
  <si>
    <t>5318 - SOLVENTE DILUENTE A BASE DE AGUARRAS</t>
  </si>
  <si>
    <t>88310 - PINTOR COM ENCARGOS COMPLEMENTARES</t>
  </si>
  <si>
    <t>003.01</t>
  </si>
  <si>
    <t>003.02</t>
  </si>
  <si>
    <t xml:space="preserve">M3 </t>
  </si>
  <si>
    <t>1379 - CIMENTO PORTLAND COMPOSTO CP II-32</t>
  </si>
  <si>
    <t xml:space="preserve">KG </t>
  </si>
  <si>
    <t>367 - AREIA GROSSA - POSTO JAZIDA/FORNECEDOR (SEM FRETE)</t>
  </si>
  <si>
    <t>003.03</t>
  </si>
  <si>
    <t>003.04</t>
  </si>
  <si>
    <t>88629 - ARGAMASSA TRAÇO 1:3 (CIMENTO E AREIA MÉDIA), PREPARO MANUAL.</t>
  </si>
  <si>
    <t>003.05</t>
  </si>
  <si>
    <t>003.06</t>
  </si>
  <si>
    <t>REBOCO PARA PAREDES INTERNAS, ARGAMASSA TRACO 1:2 (CAL E AREIA FINA PENEIRADA), PREPARO MANUAL</t>
  </si>
  <si>
    <t>333 - ARAME GALVANIZADO 14 BWG, D = 2,11 MM (0,026 KG/M)</t>
  </si>
  <si>
    <t>004.01</t>
  </si>
  <si>
    <t>004.02</t>
  </si>
  <si>
    <t>9833 - TUBO PVC DRENAGEM CORRUGADO FLEXIVEL PERFURADO DN 100 OU 110</t>
  </si>
  <si>
    <t>303 - ANEL BORRACHA, PARA TUBO PVC, REDE COLETOR ESGOTO, DN 100 MM (NBR 7362)</t>
  </si>
  <si>
    <t>88267 - ENCANADOR OU BOMBEIRO HIDRÁULICO COM ENCARGOS COMPLEMENTARES</t>
  </si>
  <si>
    <t>88248 - AUXILIAR DE ENCANADOR OU BOMBEIRO HIDRÁULICO COM ENCARGOS
COMPLEMENTARES</t>
  </si>
  <si>
    <t>004.03</t>
  </si>
  <si>
    <t>4021 - GEOTEXTIL NAO TECIDO AGULHADO DE FILAMENTOS CONTINUOS 100%
POLIESTER RT 14 P/ DRENAGEM TIPO BIDIM OU EQUIV</t>
  </si>
  <si>
    <t>004.04</t>
  </si>
  <si>
    <t>4718 - PEDRA BRITADA N. 2 (19 A 38 MM) POSTO PEDREIRA/FORNECEDOR, SEM
FRETE</t>
  </si>
  <si>
    <t>004.05</t>
  </si>
  <si>
    <t>370 - AREIA MEDIA - POSTO JAZIDA/FORNECEDOR (SEM FRETE)</t>
  </si>
  <si>
    <t>1379  - CIMENTO PORTLAND COMPOSTO CP II-32</t>
  </si>
  <si>
    <t>TUBO PVC COM JUNTA ELASTICA, DN 200 MM</t>
  </si>
  <si>
    <t>9819 -TUBO PVC EB-644 P/ REDE COLET ESG JE DN 200MM</t>
  </si>
  <si>
    <t xml:space="preserve">306 - ANEL BORRACHA, PARA TUBO PVC, REDE COLETOR ESGOTO, DN 200 MM </t>
  </si>
  <si>
    <t>20079 - PASTA LUBRIFICANTE PARA USO EM TUBOS DE PVC COM ANEL DE BORRACHA (POTE DE 3.500* G)</t>
  </si>
  <si>
    <t>88248 - AUXILIAR DE ENCANADOR OU BOMBEIRO HIDRÁULICO COM ENCARGOS COMPLEMENTARES</t>
  </si>
  <si>
    <t>337 - ARAME RECOZIDO 18 BWG, 1,25 MM (0,01 KG/M)</t>
  </si>
  <si>
    <t xml:space="preserve">M2 </t>
  </si>
  <si>
    <t xml:space="preserve"> 23 - ACO CA-25, 8,0 MM, VERGALHAO </t>
  </si>
  <si>
    <t>73481 - ESCAVACAO MANUAL DE VALAS EM TERRA COMPACTA, PROF. DE 0 M &lt; H &lt;= 1M</t>
  </si>
  <si>
    <t>1523 - CONCRETO USINADO CONVENCIONAL (NAO BOMBEAVEL) CLASSE DE RESISTENCIA C15, COM BRITA 1 E 2, SLUMP = 80 MM +/- 10 MM (NBR 8953)</t>
  </si>
  <si>
    <t>Soma dos Equipamentos</t>
  </si>
  <si>
    <t>T501 - ENCARREGADO DE TURMA</t>
  </si>
  <si>
    <t>T701 - SERVENTE</t>
  </si>
  <si>
    <t>Custo Horário de Execução = 50m3</t>
  </si>
  <si>
    <t>Custo Unitário de Execução</t>
  </si>
  <si>
    <t>M980 - INDENIZAÇÃO DE JAZIDA</t>
  </si>
  <si>
    <t>m3</t>
  </si>
  <si>
    <t>1 A 01 100 02 - LIMPEZA DE CAMADA VEGETAL EM JAZIDA (CONSV)</t>
  </si>
  <si>
    <t>m2</t>
  </si>
  <si>
    <t>1 A 01 105 02 - EXPURGO DE JAZIDA (CONSV)</t>
  </si>
  <si>
    <t>Custo Total das Atividades</t>
  </si>
  <si>
    <t>Custo Unitário Direto Total</t>
  </si>
  <si>
    <t>hactare</t>
  </si>
  <si>
    <t>10816 - HERBICIDA SELETIVO TORDON 2,4D DOWAGROSCIENCES</t>
  </si>
  <si>
    <t>159 - ADUBO BOVINO</t>
  </si>
  <si>
    <t>25951 - FERTILIZANTE NPK - 10:10:10</t>
  </si>
  <si>
    <t xml:space="preserve"> 25963 - CALCARIO DOLOMITICO A (POSTO PEDREIRA/FORNECEDOR, SEM FRETE)</t>
  </si>
  <si>
    <t>88441 - JARDINEIRO COM ENCARGOS COMPLEMENTARES</t>
  </si>
  <si>
    <t>005.01</t>
  </si>
  <si>
    <t>ESCAVACAO MANUAL A CEU ABERTO EM MATERIAL DE 1A CATEGORIA, EM PROFUNDIDADE ATE 0,50M</t>
  </si>
  <si>
    <t>005.02</t>
  </si>
  <si>
    <t>3279 - CAIXA INSPECAO, CONCRETO PRE MOLDADO, CIRCULAR, COM TAMPA, D = 60*CM, H= 60* CM</t>
  </si>
  <si>
    <t>88267 -ENCANADOR OU BOMBEIRO HIDRÁULICO COM ENCARGOS COMPLEMENTARES</t>
  </si>
  <si>
    <t>88248 -AUXILIAR DE ENCANADOR OU BOMBEIRO HIDRÁULICO COM ENCARGOS
COMPLEMENTARES</t>
  </si>
  <si>
    <t>005.03</t>
  </si>
  <si>
    <t>108 - ADAPTADOR PVC SOLDAVEL CURTO COM BOLSA E ROSCA, 32 MM X 1", PARA AGUA FRIA</t>
  </si>
  <si>
    <t>3146 - FITA VEDA ROSCA EM ROLOS DE 18 MM X 10 M (L X C)</t>
  </si>
  <si>
    <t>6013 - REGISTRO GAVETA COM ACABAMENTO E CANOPLA CROMADOS, SIMPLES, BITOLA 1 " (REF 1509)</t>
  </si>
  <si>
    <t>005.04</t>
  </si>
  <si>
    <t>JOELHO 90 GRAUS, PVC, SOLDÁVEL, DN 25MM, INSTALADO EM RAMAL OU SUB-RAMAL DE ÁGUA FORNECIMENTO E INSTALAÇÃO</t>
  </si>
  <si>
    <t>122 - ADESIVO PLASTICO PARA PVC, FRASCO COM 850 GR</t>
  </si>
  <si>
    <t>20083 - SOLUCAO LIMPADORA PARA PVC, FRASCO COM 1000 CM3</t>
  </si>
  <si>
    <t>3529 - JOELHO PVC SOLD 90G P/ AGUA FRIA PREDIAL 25 MM</t>
  </si>
  <si>
    <t>3767 - LIXA EM FOLHA PARA PAREDE OU MADEIRA, NUMERO 120 (COR VERMELHA)</t>
  </si>
  <si>
    <t>005.05</t>
  </si>
  <si>
    <t xml:space="preserve">TE, PVC, SOLDÁVEL, DN 25MM, INSTALADO EM RAMAL OU SUB-RAMAL DE ÁGUA FORNECIMENTO E INSTALAÇÃO. </t>
  </si>
  <si>
    <t>7139 - TE PVC SOLD 90G P/ AGUA FRIA PREDIAL 25MM</t>
  </si>
  <si>
    <t>005.06</t>
  </si>
  <si>
    <t>9868 - TUBO PVC, SOLDAVEL, DN 25 MM, AGUA FRIA (NBR-5648)</t>
  </si>
  <si>
    <t>006.01</t>
  </si>
  <si>
    <t>4791 - COLA CONTATO P/ CHAPA VINÍLICA/BORRACHA</t>
  </si>
  <si>
    <t>4801 - PISO BORRACHA 500 X 500 X 3,5 MM CANELADO P/ COLA G.25 PLURIGOMA
PRETO</t>
  </si>
  <si>
    <t>006.02</t>
  </si>
  <si>
    <t>007.01</t>
  </si>
  <si>
    <t>3 - ACIDO MURIATICO (SOLUCAO ACIDA)</t>
  </si>
  <si>
    <r>
      <t xml:space="preserve">Local/data  - </t>
    </r>
    <r>
      <rPr>
        <sz val="9"/>
        <rFont val="Calibri"/>
        <family val="2"/>
      </rPr>
      <t>São Luis,04/01/2016</t>
    </r>
  </si>
  <si>
    <t>PORTAO DE FERRO COM VARA 1/2", COM REQUADRO</t>
  </si>
  <si>
    <t>4948 - PORTAO FERRO C/ VARA 1/2" C/REQUADRO</t>
  </si>
  <si>
    <t xml:space="preserve">3767 - LIXA </t>
  </si>
  <si>
    <t>002.07</t>
  </si>
  <si>
    <t>002.08</t>
  </si>
  <si>
    <t>002.09</t>
  </si>
  <si>
    <t>2.13</t>
  </si>
  <si>
    <t>002.10</t>
  </si>
  <si>
    <t>CONCRETO FCK=15MPA, VIRADO EM BETONEIRA, SEM LANCAMENTO
ILIZANTE</t>
  </si>
  <si>
    <t>4721 - PEDRA BRITADA N. 1 (9,5 a 19 MM) POSTO PEDREIRA/FORNECEDOR, SEM FRETE</t>
  </si>
  <si>
    <t>88297 - OPERADOR DE MÁQUINAS E EQUIPAMENTOS COM ENCARGOS COMPLEMENTARES</t>
  </si>
  <si>
    <t>002.11</t>
  </si>
  <si>
    <t>002.12</t>
  </si>
  <si>
    <t>335  - ARAME GALVANIZADO 10 BWG, 3,40 MM (0,0713 KG/M)</t>
  </si>
  <si>
    <t>7167 - TELA ARAME GALV FIO 14 BWG (2,11MM) MALHA 2" (5x5cm) QUADRADA OU LOSANGO H = 2,0M</t>
  </si>
  <si>
    <t>7696 - TUBO ACO GALV C/ COSTURA DIN 2440/NBR 5580 CLASSE MEDIA DN 2" (50MM) E=3,65MM - 5,10KG/M</t>
  </si>
  <si>
    <t>88238 - AJUDANTE DE ARMADOR COM ENCARGOS COMPLEMENTARES</t>
  </si>
  <si>
    <t>88277 - MONTADOR (TUBO AÇO/EQUIPAMENTOS) COM ENCARGOS COMPLEMENTARES</t>
  </si>
  <si>
    <t>002.13</t>
  </si>
  <si>
    <t>644 - BETONEIRA 580 L COM MOTOR ELETRICO TRIFASICO, POTENCIA DE 7,5 HP,
COM CARREGADOR MECANICO (LOCACAO)</t>
  </si>
  <si>
    <t>87292- ARGAMASSA TRAÇO 1:4 (CIMENTO E AREIA MÉDIA) PARA CONTRAPISO, PREPARO MANUAL.</t>
  </si>
  <si>
    <t>34557 - TELA DE ACO SOLDADA GALVANIZADA PARA ALVENARIA, FIO 1,20 A 1,70
DE DIAMETRO, MALHA 15 X 15 MM, LARGURA 7,5 CM E COMPRIMENTO 50,0
CM</t>
  </si>
  <si>
    <t>37395 - PINO DE ACO COM FURO, HASTE = 27 MM (ACAO DIRETA)</t>
  </si>
  <si>
    <t>CENTO</t>
  </si>
  <si>
    <t>37592 - BLOCO CERAMICO DE VEDACAO COM FUROS NA VERTICAL, 9 X 19 X 39 CM -
4,5 MPA (NBR 15270)</t>
  </si>
  <si>
    <t>88313 - POCEIRO COM ENCARGOS COMPLEMENTARES</t>
  </si>
  <si>
    <t>88245 - ARMADOR COM ENCARGOS COMPLEMENTARES</t>
  </si>
  <si>
    <t>88830 - BETONEIRA CAPACIDADE NOMINAL DE 400 L, CAPACIDADE DE MISTURA 310 L, MOTOR ELÉTRICO TRIFÁSICO POTÊNCIA DE 2 HP, SEM CARREGADOR - CHP
DIURNO. AF_10/2014</t>
  </si>
  <si>
    <t>1106 - CAL HIDRATADA, DE 1A. QUALIDADE, PARA ARGAMASSA</t>
  </si>
  <si>
    <t>4718 - PEDRA BRITADA N. 2 (19 A 38 MM) POSTO PEDREIRA/FORNECEDOR, SEM FRETE</t>
  </si>
  <si>
    <t>4721 - PEDRA BRITADA N. 1 (9,5 a 19 MM) POSTO PEDREIRA/FORNECEDOR, SEM
FRETE</t>
  </si>
  <si>
    <t>7258 - TIJOLO CERAMICO MACICO *5 X 10 X 20* CM</t>
  </si>
  <si>
    <t>005.07</t>
  </si>
  <si>
    <t>005.08</t>
  </si>
  <si>
    <t>005.09</t>
  </si>
  <si>
    <t>005.10</t>
  </si>
  <si>
    <t>006.03</t>
  </si>
  <si>
    <t>006.04</t>
  </si>
  <si>
    <t>006.05</t>
  </si>
  <si>
    <t>3522 - JOELHO PVC SOLD/ROSCA 90G P/AGUA FRIA PRED 25MM X 3/4"</t>
  </si>
  <si>
    <t xml:space="preserve">TE, PVC, SOLDÁVEL, DN 25MM, X 3/4", INSTALADO EM RAMAL OU SUB-RAMAL DE ÁGUA FORNECIMENTO E INSTALAÇÃO. </t>
  </si>
  <si>
    <t>006.06</t>
  </si>
  <si>
    <t>006.07</t>
  </si>
  <si>
    <t>00000370 - AREIA MEDIA - POSTO JAZIDA/FORNECEDOR (SEM FRETE)</t>
  </si>
  <si>
    <t>008.01</t>
  </si>
  <si>
    <t xml:space="preserve">25399 - CONJUNTO P/VOLEI(POSTES FOGO H=255 REDE NYLON 2 MM </t>
  </si>
  <si>
    <t>25398 - CONJUNTO PARA FUTSAL ( PAR DE TRAVES OFICIAL - 3,00X2,00M - EM TUBO DE AÇO GALV A FOGO 3" COM UM REQUADRO E REDES POLIETILENO FIO 4MM).</t>
  </si>
  <si>
    <t>TUBO PVC COM JUNTA ELASTICA, DN 2000 MM</t>
  </si>
  <si>
    <t>3322 - GRAMA ESMERALDA EM ROLO</t>
  </si>
  <si>
    <t>ENCARGOS SOCIAIS DESONERADOS: 89,05%</t>
  </si>
  <si>
    <t>Leis sociais = 89,05%</t>
  </si>
  <si>
    <t>E001 - TRATOR DE ESTEIRAS - COM LÂMINA (67 KW)</t>
  </si>
  <si>
    <t>E016 - CARREGADEIRA DE PNEUS</t>
  </si>
  <si>
    <t xml:space="preserve">  E006 - MOTONIVELADORA  </t>
  </si>
  <si>
    <t>TRANSPORTE E BOTA FORA MATERIAL DE QUALQUER NATUREZA DMT 5 KM</t>
  </si>
  <si>
    <t xml:space="preserve">TRANSPORTE DE ENTULHO COM CAMINHÃO BASCULANTE 6 M3, RODOVIA
PAVIMENTADA, DMT 5 KM </t>
  </si>
  <si>
    <t>(203,20x1,15)</t>
  </si>
  <si>
    <t>PINTURA A OLEO, 2 DEMAOS</t>
  </si>
  <si>
    <t>74223/001</t>
  </si>
  <si>
    <t>MEIO-FIO (GUIA) DE CONCRETO PRE-MOLDADO, DIMENSÕES 12X15X30X100CM,REJUNTADO C/ARGAMASSA 1:4 CIMENTO:AREIA, INCLUINDO ESCAVAÇÃO E REATERRO.</t>
  </si>
  <si>
    <t>(203,2X0,09X0,09)+(0,70X0,9X0,09*102)</t>
  </si>
  <si>
    <t>(28,07x0,45x4)+(1,20X0,68)</t>
  </si>
  <si>
    <t>(28,07x0,6x4)+(28,07x0,45x4)</t>
  </si>
  <si>
    <t xml:space="preserve">CONJUNTO P/VOLEI(POSTES GALVANIZADO H=255 REDE NYLON 2 MM </t>
  </si>
  <si>
    <t xml:space="preserve">ADAPTADOR CURTO COM BOLSA E ROSCA PARA REGISTRO, PVC, SOLDÁVEL,
M X 1/2", INSTALADO EM RAMAL DE DISTRIBUIÇÃO DE ÁGUA </t>
  </si>
  <si>
    <t>6.10</t>
  </si>
  <si>
    <t>(173x0,10x0,15)</t>
  </si>
  <si>
    <t xml:space="preserve">CAP PVC ESGOTO 100MM (TAMPÃO) - FORNECIMENTO E INSTALAÇÃO  </t>
  </si>
  <si>
    <t>5.11</t>
  </si>
  <si>
    <t xml:space="preserve"> JUNÇÃO DUPLA, PVC, SERIE R, ÁGUA PLUVIAL, DN 100 X 100 X 100 MM</t>
  </si>
  <si>
    <t>5.12</t>
  </si>
  <si>
    <t>5.13</t>
  </si>
  <si>
    <r>
      <t>(203,20x0,40)-4,59</t>
    </r>
    <r>
      <rPr>
        <sz val="5"/>
        <rFont val="Calibri"/>
        <family val="2"/>
      </rPr>
      <t>(ÁREA DE PILARETES)</t>
    </r>
  </si>
  <si>
    <t>(28,07X3)+(1,20X2)x0,60x2+(28,07X3)+(1,20X2)x1,05x2</t>
  </si>
  <si>
    <t>(28,07x0,60X0,40)+(28,07x1,05X0,40)x2</t>
  </si>
  <si>
    <t>8,00X0,40X0,50X2</t>
  </si>
  <si>
    <t>REBOCO</t>
  </si>
  <si>
    <t>(10,27x8x3)+(40,26x3)x0,60</t>
  </si>
  <si>
    <t xml:space="preserve"> </t>
  </si>
  <si>
    <t>M²</t>
  </si>
  <si>
    <t>(30,74+30,74+11,43+9,75+9,75+3,00)X0,25</t>
  </si>
  <si>
    <t>79498/001</t>
  </si>
  <si>
    <t xml:space="preserve"> PINTURA A OLEO BRILHANTE SOBRE SUPERFICIE METALICA, UMA DEMAO INCLUSO 
UMA DEMAO DE FUNDO ANTICORROSIVO</t>
  </si>
  <si>
    <t>(202,60x2,00)+(3,50x6,33x4)+(40,30x3,50x2)</t>
  </si>
  <si>
    <t>(203,2x2,00)+(3,50x6,33x4)+(40,30x3,50x2)X30%</t>
  </si>
  <si>
    <t>5.14</t>
  </si>
  <si>
    <t>(377,58X0,20X0,20)</t>
  </si>
  <si>
    <t>(8,00X0,75)X2X(0,30X0,3)X2</t>
  </si>
  <si>
    <t>(8,00X0,60)X2</t>
  </si>
  <si>
    <t>(8,00X0,65)+(0,60X0,25)+(1,80X0,70)+(8,00X0,60)X2</t>
  </si>
  <si>
    <t>(8,00X0,65)+(0,60X0,25)+(1,80X0,70)X2</t>
  </si>
  <si>
    <r>
      <t xml:space="preserve">Importa o presente orçamento em: R$ 249.232,650 </t>
    </r>
    <r>
      <rPr>
        <sz val="9"/>
        <rFont val="Calibri"/>
        <family val="2"/>
      </rPr>
      <t>(Duzentos e quarenta e nove mil seiscentos e trinta e dois reais e sessenta e cinco centavos)</t>
    </r>
  </si>
  <si>
    <t>PAR DE TRAVES OFICIAL - 3,00X2,00M - EM TUBO DE AÇO GALV 3" COM UM REQUADRO E REDES POLIETILENO FIO 4MM).</t>
  </si>
  <si>
    <t>205,20x0,19</t>
  </si>
  <si>
    <t>205,2x0,30x0,20</t>
  </si>
  <si>
    <t>(80+52)x2x2,00+(10,20x6,23)+(62,45x1,50)</t>
  </si>
  <si>
    <t>2,00x2,50</t>
  </si>
  <si>
    <t>(80+52)x2x2,00+(10,20x6,23)+(62,45x1,50)x0,10</t>
  </si>
  <si>
    <t>(28,07x0,6x4)</t>
  </si>
  <si>
    <t>(10,00x18,00x0,20)</t>
  </si>
  <si>
    <t>7.2</t>
  </si>
  <si>
    <t>(10,00X0,30X0,20)X2</t>
  </si>
  <si>
    <t>CONTEÇÃO DA AREIA COM ALVENARIA DE 1VEZ</t>
  </si>
  <si>
    <t>4.6</t>
  </si>
  <si>
    <t>CANALETA TRIANGULAR 70X20 CM, COM ESPESSURA DE 7 CM (VOLUME DE CONCRETO = 
0,053 M3/M)</t>
  </si>
  <si>
    <t>74202/002</t>
  </si>
  <si>
    <t>TAMPA DA CANALETA EM LAJE PRE MOLDADA</t>
  </si>
  <si>
    <t>52X0,70</t>
  </si>
  <si>
    <t>PINTURA COM TINTA EM PO INDUSTRIALIZADA A BASE DE CAL, DUAS DEMAOS</t>
  </si>
  <si>
    <t>(10,00X0,30)X2</t>
  </si>
  <si>
    <t xml:space="preserve">73791/001 </t>
  </si>
  <si>
    <t>(377,58X0,20X0,20)-(0,008X377,58)</t>
  </si>
  <si>
    <t>(80+3,20+10,50+52+52+56+56+3,00+80+38,41+31,2+18,00)</t>
  </si>
  <si>
    <t>ALVENARIA DE VEDAÇÃO DE BLOCOS CERÂMICOS FURADOS NA VERTICAL DE 9X19X3 9CM (ESPESSURA 9CM) DE PAREDES COM ÁREA LÍQUIDA MAIOR OU IGUAL A 6M² SEM VÃOS E ARGAMASSA DE ASSENTAMENTO COM PREPARO EM BETONEIRA. AF_06/20
14MANUAL, JUNTA1 CM</t>
  </si>
  <si>
    <t>00007287 -TINTA A OLEO BRILHANTE (USO GERAL)</t>
  </si>
  <si>
    <t>GL</t>
  </si>
  <si>
    <t>MEIO-FIO (GUIA) DE CONCRETO PRE-MOLDADO, DIMENSÕES 12X15X30X100CM (FACE SUPERIORXFACE INFERIORXALTURAXCOMPRIMENTO),REJUNTADO
C/ARGAMASSA 1:4 CIMENTO:AREIA, INCLUINDO ESCAVAÇÃO E REATERRO.</t>
  </si>
  <si>
    <t>73964/006 - REATERRO DE VALA COM COMPACTAÇÃO MANUAL</t>
  </si>
  <si>
    <t>88631 - ARGAMASSA TRAÇO 1:4 (CIMENTO E AREIA MÉDIA), PREPARO MANUAL.
AF_08/2014S</t>
  </si>
  <si>
    <t>4059 - MEIO-FIO OU GUIA DE CONCRETO, PRE-MOLDADO, COMP 1 M, *30 X 15/ 12* CM (H X L1/L2)METÁLICA - CHI DIURNO</t>
  </si>
  <si>
    <t>PINTURA A OLEO BRILHANTE SOBRE SUPERFICIE METALICA, UMA DEMAO INCLUSO UMA DEMAO DE FUNDO ANTICORROSIVO</t>
  </si>
  <si>
    <t>7308 - FUNDO ANTICORROSIVO TIPO ZARCAO OU
EQUIV</t>
  </si>
  <si>
    <t>7287 - TINTA A OLEO BRILHANTE (USO GERAL)</t>
  </si>
  <si>
    <t>7363 - TINTA HIDRACOR</t>
  </si>
  <si>
    <t>002.02</t>
  </si>
  <si>
    <t>PINTURA A OLEO, DUAS DEMAOS</t>
  </si>
  <si>
    <t>003.07</t>
  </si>
  <si>
    <t>CALHA TRAPEZOIDAL 70X20 CM, COM ESPESSURA DE 7 CM</t>
  </si>
  <si>
    <t>73972/2 - CONCRETO FCK=20MPA, VIRADO EM BETONEIRA, SEM LANCAMENTO</t>
  </si>
  <si>
    <t>74157/3 - LANCAMENTO/APLICACAO MANUAL DE CONCRETO EM ESTRUTURAS</t>
  </si>
  <si>
    <t>3741 - LAJE PRE-MOLDADA DE FORRO CONVENCIONAL SOBRECARGA 100KG/M2 VAO ATE
4,50M</t>
  </si>
  <si>
    <t>4491 - PECA DE MADEIRA NATIVA / REGIONAL 7,5 X 7,5CM (3X3) NAO APARELHADA
(P/FORMA)</t>
  </si>
  <si>
    <t>6189 - TABUA MADEIRA 2A QUALIDADE 2,5 X 30,0CM (1 X 12") NAO APARELHADA
(P/FORMA)</t>
  </si>
  <si>
    <t>M6</t>
  </si>
  <si>
    <t>5075- PREGO POLIDO COM CABECA 18 X 30</t>
  </si>
  <si>
    <t>88262 CARPINTEIRO COM ENCARGOS COMPLEMENTARES</t>
  </si>
  <si>
    <t>29 - ACO CA-60, 5,0 MM, VERGALHAO</t>
  </si>
  <si>
    <t>88239 - AJUDANTE CARPINTEIRO COM ENCARGOS COMPLEMENTARES</t>
  </si>
  <si>
    <t>005.11</t>
  </si>
  <si>
    <t>005.12</t>
  </si>
  <si>
    <t>007.02</t>
  </si>
  <si>
    <t>007.03</t>
  </si>
  <si>
    <t>009.01</t>
  </si>
  <si>
    <t>009.02</t>
  </si>
  <si>
    <t>010.01</t>
  </si>
  <si>
    <t>TRANSPORTE DE MATERIAL DE QUALQUER NATUREZA DMT 5 KM</t>
  </si>
  <si>
    <t>2.5</t>
  </si>
  <si>
    <t>3.7</t>
  </si>
  <si>
    <t>5.15</t>
  </si>
  <si>
    <t>001.04</t>
  </si>
  <si>
    <t>EXECUÇÃO  DE DRENO COM TUBO PVC CORRUGADO PERFURADO 75 MM C/ JUNTA ELASTICA PARA DRENAGEM.</t>
  </si>
  <si>
    <t xml:space="preserve">CAMADA DRENANTE BRITA </t>
  </si>
  <si>
    <t>005.13</t>
  </si>
  <si>
    <t>005.14</t>
  </si>
  <si>
    <t>005.15</t>
  </si>
  <si>
    <t>ADAPTADOR CURTO COM BOLSA E ROSCA PARA REGISTRO, PVC, SOLDÁVEL,</t>
  </si>
  <si>
    <t>006.08</t>
  </si>
  <si>
    <t>006.09</t>
  </si>
  <si>
    <t>006.10</t>
  </si>
  <si>
    <t>7.3</t>
  </si>
  <si>
    <t>1200 -CAP PVC SOLD P/ ESG PREDIAL DN 100 MM</t>
  </si>
  <si>
    <t>20139 -JUNCAO DUPLA PVC SERIE R P/ ESG PREDIAL DN 100MM</t>
  </si>
  <si>
    <t>107  -ADAPTADOR PVC SOLDAVEL CURTO COM BOLSA E ROSCA, 20 MM X 1/2", PARA AGUA FRIA</t>
  </si>
  <si>
    <t>11831  -TORNEIRA PLASTICA 3/4" P/TANQUE</t>
  </si>
  <si>
    <t xml:space="preserve"> Patrick Abdalla Britto                                                                                                                       Engenheiro Civil                                                                                                                      CREA-MA: 110371045-1</t>
  </si>
  <si>
    <t xml:space="preserve"> Patrick Abdalla Britto                                                                                                                                                                                             Engenheiro Civil                                                                                                                                                                                                                   CREA-MA: 110371045-1</t>
  </si>
  <si>
    <t>Patrick Abdalla Britto                                                                                                                                                                                             Engenheiro Civil                                                                                                                                                                                                                   CREA-MA: 110371045-1</t>
  </si>
</sst>
</file>

<file path=xl/styles.xml><?xml version="1.0" encoding="utf-8"?>
<styleSheet xmlns="http://schemas.openxmlformats.org/spreadsheetml/2006/main">
  <numFmts count="15">
    <numFmt numFmtId="7" formatCode="&quot;R$&quot;\ #,##0.00;\-&quot;R$&quot;\ #,##0.00"/>
    <numFmt numFmtId="44" formatCode="_-&quot;R$&quot;\ * #,##0.00_-;\-&quot;R$&quot;\ * #,##0.00_-;_-&quot;R$&quot;\ * &quot;-&quot;??_-;_-@_-"/>
    <numFmt numFmtId="164" formatCode="_(&quot;R$&quot;* #,##0.00_);_(&quot;R$&quot;* \(#,##0.00\);_(&quot;R$&quot;* &quot;-&quot;??_);_(@_)"/>
    <numFmt numFmtId="165" formatCode="_(* #,##0.00_);_(* \(#,##0.00\);_(* &quot;-&quot;??_);_(@_)"/>
    <numFmt numFmtId="166" formatCode="&quot;R$ &quot;#,##0.00"/>
    <numFmt numFmtId="167" formatCode="_(* #,##0.0_);_(* \(#,##0.0\);_(* &quot;-&quot;??_);_(@_)"/>
    <numFmt numFmtId="168" formatCode="#,##0.000"/>
    <numFmt numFmtId="169" formatCode="0.0000"/>
    <numFmt numFmtId="170" formatCode="0.00000"/>
    <numFmt numFmtId="171" formatCode="#,##0.00000"/>
    <numFmt numFmtId="172" formatCode="#,##0.0000"/>
    <numFmt numFmtId="173" formatCode="#,##0.0000000"/>
    <numFmt numFmtId="174" formatCode="#,##0.0"/>
    <numFmt numFmtId="175" formatCode="0.0"/>
    <numFmt numFmtId="176" formatCode="0.000"/>
  </numFmts>
  <fonts count="4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2"/>
      <name val="Calibri"/>
      <family val="2"/>
    </font>
    <font>
      <b/>
      <sz val="11.5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Script MT Bold"/>
      <family val="4"/>
    </font>
    <font>
      <sz val="9"/>
      <name val="Calibri"/>
      <family val="2"/>
      <scheme val="minor"/>
    </font>
    <font>
      <b/>
      <sz val="10"/>
      <color rgb="FFFF0000"/>
      <name val="Calibri"/>
      <family val="2"/>
    </font>
    <font>
      <sz val="9"/>
      <color rgb="FFFF0000"/>
      <name val="Calibri"/>
      <family val="2"/>
    </font>
    <font>
      <sz val="8"/>
      <color rgb="FFFF0000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Calibri"/>
      <family val="2"/>
    </font>
    <font>
      <b/>
      <sz val="8"/>
      <color rgb="FFFF0000"/>
      <name val="Calibri"/>
      <family val="2"/>
    </font>
    <font>
      <sz val="9"/>
      <color rgb="FFFF0000"/>
      <name val="Script MT Bold"/>
      <family val="4"/>
    </font>
    <font>
      <sz val="12"/>
      <name val="Arial"/>
      <family val="2"/>
    </font>
    <font>
      <sz val="10"/>
      <color indexed="8"/>
      <name val="Arial"/>
      <family val="2"/>
    </font>
    <font>
      <b/>
      <sz val="9"/>
      <color theme="1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13"/>
      <name val="Tahoma"/>
      <family val="2"/>
    </font>
    <font>
      <sz val="11"/>
      <name val="Tahoma"/>
      <family val="2"/>
    </font>
    <font>
      <b/>
      <sz val="14"/>
      <color theme="1"/>
      <name val="Tahom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rgb="FFFF5050"/>
      <name val="Calibri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9"/>
      <color rgb="FF000000"/>
      <name val="Bookman Old Style"/>
      <family val="1"/>
    </font>
    <font>
      <sz val="9"/>
      <name val="Calibri Light"/>
      <family val="2"/>
      <scheme val="major"/>
    </font>
    <font>
      <b/>
      <sz val="9"/>
      <name val="Calibri Light"/>
      <family val="2"/>
      <scheme val="major"/>
    </font>
    <font>
      <b/>
      <sz val="9"/>
      <color rgb="FFFF0000"/>
      <name val="Calibri Light"/>
      <family val="2"/>
      <scheme val="major"/>
    </font>
    <font>
      <sz val="9"/>
      <color rgb="FFFF0000"/>
      <name val="Calibri Light"/>
      <family val="2"/>
      <scheme val="major"/>
    </font>
    <font>
      <b/>
      <i/>
      <sz val="9"/>
      <name val="Calibri Light"/>
      <family val="2"/>
      <scheme val="major"/>
    </font>
    <font>
      <sz val="8"/>
      <name val="Courier New"/>
      <family val="3"/>
    </font>
    <font>
      <sz val="5"/>
      <name val="Calibri"/>
      <family val="2"/>
    </font>
    <font>
      <sz val="10"/>
      <name val="Calibri Light"/>
      <family val="2"/>
      <scheme val="maj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 style="thin">
        <color theme="0" tint="-4.9989318521683403E-2"/>
      </right>
      <top style="medium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indexed="64"/>
      </right>
      <top style="medium">
        <color indexed="64"/>
      </top>
      <bottom style="thin">
        <color theme="0" tint="-4.9989318521683403E-2"/>
      </bottom>
      <diagonal/>
    </border>
    <border>
      <left style="medium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20">
    <xf numFmtId="0" fontId="0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24" fillId="0" borderId="0"/>
    <xf numFmtId="0" fontId="2" fillId="0" borderId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1" fillId="0" borderId="0"/>
    <xf numFmtId="0" fontId="2" fillId="0" borderId="0"/>
  </cellStyleXfs>
  <cellXfs count="601">
    <xf numFmtId="0" fontId="0" fillId="0" borderId="0" xfId="0"/>
    <xf numFmtId="0" fontId="5" fillId="0" borderId="0" xfId="1" applyFont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7" fillId="2" borderId="0" xfId="1" applyFont="1" applyFill="1"/>
    <xf numFmtId="0" fontId="4" fillId="2" borderId="0" xfId="1" applyFont="1" applyFill="1"/>
    <xf numFmtId="0" fontId="7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/>
    </xf>
    <xf numFmtId="0" fontId="4" fillId="2" borderId="0" xfId="1" applyFont="1" applyFill="1" applyAlignment="1">
      <alignment vertical="center"/>
    </xf>
    <xf numFmtId="0" fontId="9" fillId="2" borderId="0" xfId="1" applyFont="1" applyFill="1" applyAlignment="1">
      <alignment horizontal="left"/>
    </xf>
    <xf numFmtId="9" fontId="4" fillId="2" borderId="0" xfId="2" applyFont="1" applyFill="1" applyAlignment="1">
      <alignment horizontal="left" vertical="center"/>
    </xf>
    <xf numFmtId="0" fontId="5" fillId="2" borderId="0" xfId="1" applyFont="1" applyFill="1" applyAlignment="1">
      <alignment vertical="center"/>
    </xf>
    <xf numFmtId="0" fontId="4" fillId="2" borderId="0" xfId="1" applyFont="1" applyFill="1" applyBorder="1" applyAlignment="1">
      <alignment horizontal="left" vertical="center"/>
    </xf>
    <xf numFmtId="49" fontId="4" fillId="2" borderId="0" xfId="1" applyNumberFormat="1" applyFont="1" applyFill="1" applyBorder="1" applyAlignment="1">
      <alignment horizontal="left" vertical="center"/>
    </xf>
    <xf numFmtId="165" fontId="10" fillId="3" borderId="3" xfId="3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49" fontId="10" fillId="0" borderId="4" xfId="3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49" fontId="5" fillId="4" borderId="2" xfId="3" applyNumberFormat="1" applyFont="1" applyFill="1" applyBorder="1" applyAlignment="1">
      <alignment vertical="center"/>
    </xf>
    <xf numFmtId="0" fontId="7" fillId="4" borderId="0" xfId="1" applyFont="1" applyFill="1" applyBorder="1" applyAlignment="1">
      <alignment vertical="center"/>
    </xf>
    <xf numFmtId="49" fontId="5" fillId="4" borderId="3" xfId="3" applyNumberFormat="1" applyFont="1" applyFill="1" applyBorder="1" applyAlignment="1">
      <alignment vertical="center"/>
    </xf>
    <xf numFmtId="49" fontId="6" fillId="3" borderId="1" xfId="3" applyNumberFormat="1" applyFont="1" applyFill="1" applyBorder="1" applyAlignment="1">
      <alignment vertical="center"/>
    </xf>
    <xf numFmtId="0" fontId="7" fillId="5" borderId="0" xfId="1" applyFont="1" applyFill="1" applyAlignment="1">
      <alignment vertical="center"/>
    </xf>
    <xf numFmtId="0" fontId="13" fillId="2" borderId="0" xfId="1" applyFont="1" applyFill="1" applyAlignment="1">
      <alignment vertical="center"/>
    </xf>
    <xf numFmtId="0" fontId="13" fillId="2" borderId="0" xfId="1" applyFont="1" applyFill="1" applyAlignment="1">
      <alignment vertical="top"/>
    </xf>
    <xf numFmtId="0" fontId="7" fillId="0" borderId="0" xfId="1" applyFont="1"/>
    <xf numFmtId="0" fontId="15" fillId="2" borderId="0" xfId="1" applyFont="1" applyFill="1" applyAlignment="1">
      <alignment vertical="top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center" vertical="center"/>
    </xf>
    <xf numFmtId="165" fontId="13" fillId="0" borderId="0" xfId="3" applyFont="1" applyAlignment="1">
      <alignment vertical="center"/>
    </xf>
    <xf numFmtId="49" fontId="13" fillId="0" borderId="0" xfId="3" applyNumberFormat="1" applyFont="1" applyAlignment="1">
      <alignment vertical="center"/>
    </xf>
    <xf numFmtId="0" fontId="5" fillId="0" borderId="0" xfId="1" applyFont="1" applyAlignment="1">
      <alignment horizontal="center" vertical="center"/>
    </xf>
    <xf numFmtId="165" fontId="5" fillId="0" borderId="0" xfId="3" applyFont="1" applyAlignment="1">
      <alignment vertical="center"/>
    </xf>
    <xf numFmtId="49" fontId="5" fillId="0" borderId="0" xfId="3" applyNumberFormat="1" applyFont="1" applyAlignment="1">
      <alignment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justify" vertical="center" wrapText="1"/>
    </xf>
    <xf numFmtId="0" fontId="5" fillId="0" borderId="3" xfId="1" applyFont="1" applyFill="1" applyBorder="1" applyAlignment="1">
      <alignment horizontal="center" vertical="center"/>
    </xf>
    <xf numFmtId="165" fontId="5" fillId="0" borderId="3" xfId="3" applyFont="1" applyFill="1" applyBorder="1" applyAlignment="1">
      <alignment vertical="center"/>
    </xf>
    <xf numFmtId="165" fontId="5" fillId="0" borderId="3" xfId="3" applyFont="1" applyFill="1" applyBorder="1" applyAlignment="1">
      <alignment horizontal="center" vertical="center"/>
    </xf>
    <xf numFmtId="49" fontId="5" fillId="0" borderId="3" xfId="3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164" fontId="6" fillId="2" borderId="0" xfId="4" applyFont="1" applyFill="1" applyAlignment="1">
      <alignment horizontal="center"/>
    </xf>
    <xf numFmtId="164" fontId="4" fillId="2" borderId="0" xfId="4" applyFont="1" applyFill="1" applyAlignment="1">
      <alignment horizontal="center" vertical="center"/>
    </xf>
    <xf numFmtId="164" fontId="7" fillId="2" borderId="0" xfId="4" applyFont="1" applyFill="1"/>
    <xf numFmtId="164" fontId="4" fillId="2" borderId="0" xfId="4" applyFont="1" applyFill="1" applyAlignment="1">
      <alignment vertical="center"/>
    </xf>
    <xf numFmtId="164" fontId="4" fillId="2" borderId="0" xfId="4" applyFont="1" applyFill="1" applyBorder="1" applyAlignment="1">
      <alignment horizontal="right" vertical="center"/>
    </xf>
    <xf numFmtId="164" fontId="13" fillId="0" borderId="0" xfId="4" applyFont="1" applyAlignment="1">
      <alignment horizontal="right" vertical="center"/>
    </xf>
    <xf numFmtId="164" fontId="5" fillId="0" borderId="0" xfId="4" applyFont="1" applyAlignment="1">
      <alignment horizontal="right" vertical="center"/>
    </xf>
    <xf numFmtId="164" fontId="4" fillId="2" borderId="0" xfId="4" applyFont="1" applyFill="1" applyBorder="1" applyAlignment="1">
      <alignment horizontal="left" vertical="center"/>
    </xf>
    <xf numFmtId="164" fontId="13" fillId="0" borderId="0" xfId="4" applyFont="1" applyAlignment="1">
      <alignment vertical="center"/>
    </xf>
    <xf numFmtId="164" fontId="5" fillId="0" borderId="0" xfId="4" applyFont="1" applyAlignment="1">
      <alignment vertical="center"/>
    </xf>
    <xf numFmtId="0" fontId="7" fillId="6" borderId="0" xfId="1" applyFont="1" applyFill="1" applyBorder="1" applyAlignment="1">
      <alignment vertical="center"/>
    </xf>
    <xf numFmtId="0" fontId="6" fillId="2" borderId="0" xfId="1" applyNumberFormat="1" applyFont="1" applyFill="1" applyAlignment="1">
      <alignment horizontal="center"/>
    </xf>
    <xf numFmtId="0" fontId="4" fillId="2" borderId="0" xfId="1" applyNumberFormat="1" applyFont="1" applyFill="1" applyAlignment="1">
      <alignment horizontal="center" vertical="center"/>
    </xf>
    <xf numFmtId="0" fontId="4" fillId="2" borderId="0" xfId="1" applyNumberFormat="1" applyFont="1" applyFill="1" applyAlignment="1">
      <alignment horizontal="right"/>
    </xf>
    <xf numFmtId="0" fontId="7" fillId="2" borderId="0" xfId="1" applyNumberFormat="1" applyFont="1" applyFill="1" applyAlignment="1">
      <alignment horizontal="center"/>
    </xf>
    <xf numFmtId="0" fontId="4" fillId="2" borderId="0" xfId="1" applyNumberFormat="1" applyFont="1" applyFill="1" applyAlignment="1">
      <alignment vertical="center"/>
    </xf>
    <xf numFmtId="0" fontId="4" fillId="2" borderId="0" xfId="1" applyNumberFormat="1" applyFont="1" applyFill="1" applyBorder="1" applyAlignment="1">
      <alignment horizontal="left" vertical="center"/>
    </xf>
    <xf numFmtId="0" fontId="13" fillId="0" borderId="0" xfId="3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7" fillId="7" borderId="0" xfId="1" applyFont="1" applyFill="1" applyBorder="1" applyAlignment="1">
      <alignment vertical="center"/>
    </xf>
    <xf numFmtId="0" fontId="6" fillId="2" borderId="0" xfId="1" applyFont="1" applyFill="1" applyAlignment="1">
      <alignment horizontal="center"/>
    </xf>
    <xf numFmtId="0" fontId="7" fillId="2" borderId="0" xfId="1" applyFont="1" applyFill="1" applyAlignment="1">
      <alignment horizontal="left"/>
    </xf>
    <xf numFmtId="0" fontId="16" fillId="2" borderId="0" xfId="1" applyFont="1" applyFill="1" applyAlignment="1">
      <alignment vertical="top"/>
    </xf>
    <xf numFmtId="4" fontId="16" fillId="2" borderId="0" xfId="1" applyNumberFormat="1" applyFont="1" applyFill="1" applyAlignment="1">
      <alignment vertical="top"/>
    </xf>
    <xf numFmtId="164" fontId="15" fillId="2" borderId="0" xfId="1" applyNumberFormat="1" applyFont="1" applyFill="1" applyAlignment="1">
      <alignment vertical="top"/>
    </xf>
    <xf numFmtId="0" fontId="5" fillId="0" borderId="0" xfId="1" applyFont="1" applyFill="1" applyAlignment="1">
      <alignment vertical="center"/>
    </xf>
    <xf numFmtId="0" fontId="7" fillId="0" borderId="0" xfId="1" applyFont="1" applyFill="1"/>
    <xf numFmtId="10" fontId="5" fillId="0" borderId="8" xfId="4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/>
    <xf numFmtId="0" fontId="5" fillId="0" borderId="0" xfId="1" applyFont="1" applyFill="1" applyAlignment="1">
      <alignment horizontal="center" vertical="center"/>
    </xf>
    <xf numFmtId="165" fontId="5" fillId="0" borderId="0" xfId="3" applyFont="1" applyFill="1" applyAlignment="1">
      <alignment vertical="center"/>
    </xf>
    <xf numFmtId="0" fontId="5" fillId="0" borderId="0" xfId="3" applyNumberFormat="1" applyFont="1" applyFill="1" applyAlignment="1">
      <alignment vertical="center"/>
    </xf>
    <xf numFmtId="164" fontId="5" fillId="0" borderId="0" xfId="4" applyFont="1" applyFill="1" applyAlignment="1">
      <alignment horizontal="right" vertical="center"/>
    </xf>
    <xf numFmtId="164" fontId="5" fillId="0" borderId="0" xfId="4" applyFont="1" applyFill="1" applyAlignment="1">
      <alignment vertical="center"/>
    </xf>
    <xf numFmtId="0" fontId="13" fillId="0" borderId="0" xfId="1" applyFont="1" applyFill="1" applyAlignment="1">
      <alignment vertical="center"/>
    </xf>
    <xf numFmtId="0" fontId="8" fillId="0" borderId="0" xfId="1" applyFont="1" applyFill="1" applyAlignment="1">
      <alignment horizontal="left" vertical="center"/>
    </xf>
    <xf numFmtId="0" fontId="13" fillId="0" borderId="0" xfId="1" applyFont="1" applyFill="1" applyAlignment="1">
      <alignment horizontal="center" vertical="center"/>
    </xf>
    <xf numFmtId="165" fontId="13" fillId="0" borderId="0" xfId="3" applyFont="1" applyFill="1" applyAlignment="1">
      <alignment vertical="center"/>
    </xf>
    <xf numFmtId="0" fontId="13" fillId="0" borderId="0" xfId="3" applyNumberFormat="1" applyFont="1" applyFill="1" applyAlignment="1">
      <alignment vertical="center"/>
    </xf>
    <xf numFmtId="164" fontId="13" fillId="0" borderId="0" xfId="4" applyFont="1" applyFill="1" applyAlignment="1">
      <alignment horizontal="right" vertical="center"/>
    </xf>
    <xf numFmtId="164" fontId="13" fillId="0" borderId="0" xfId="4" applyFont="1" applyFill="1" applyAlignment="1">
      <alignment vertical="center"/>
    </xf>
    <xf numFmtId="166" fontId="13" fillId="0" borderId="0" xfId="1" applyNumberFormat="1" applyFont="1" applyFill="1" applyAlignment="1">
      <alignment vertical="center"/>
    </xf>
    <xf numFmtId="0" fontId="13" fillId="0" borderId="0" xfId="1" applyFont="1" applyFill="1" applyAlignment="1">
      <alignment vertical="top"/>
    </xf>
    <xf numFmtId="0" fontId="13" fillId="0" borderId="0" xfId="1" applyNumberFormat="1" applyFont="1" applyFill="1" applyAlignment="1">
      <alignment vertical="top"/>
    </xf>
    <xf numFmtId="164" fontId="13" fillId="0" borderId="0" xfId="4" applyFont="1" applyFill="1" applyAlignment="1">
      <alignment vertical="top"/>
    </xf>
    <xf numFmtId="0" fontId="14" fillId="0" borderId="0" xfId="1" applyFont="1" applyFill="1" applyAlignment="1">
      <alignment vertical="top"/>
    </xf>
    <xf numFmtId="164" fontId="13" fillId="0" borderId="0" xfId="4" applyFont="1" applyFill="1"/>
    <xf numFmtId="49" fontId="5" fillId="0" borderId="0" xfId="3" applyNumberFormat="1" applyFont="1" applyFill="1" applyAlignment="1">
      <alignment vertical="center"/>
    </xf>
    <xf numFmtId="49" fontId="13" fillId="0" borderId="0" xfId="3" applyNumberFormat="1" applyFont="1" applyFill="1" applyAlignment="1">
      <alignment vertical="center"/>
    </xf>
    <xf numFmtId="0" fontId="13" fillId="0" borderId="0" xfId="1" applyFont="1" applyFill="1" applyAlignment="1">
      <alignment horizontal="center" vertical="top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7" fillId="2" borderId="0" xfId="1" applyFont="1" applyFill="1" applyAlignment="1">
      <alignment horizontal="center" vertical="center"/>
    </xf>
    <xf numFmtId="0" fontId="17" fillId="2" borderId="0" xfId="1" applyFont="1" applyFill="1" applyAlignment="1">
      <alignment horizontal="right"/>
    </xf>
    <xf numFmtId="0" fontId="21" fillId="2" borderId="0" xfId="1" applyFont="1" applyFill="1" applyAlignment="1">
      <alignment horizontal="center"/>
    </xf>
    <xf numFmtId="165" fontId="18" fillId="0" borderId="0" xfId="3" applyFont="1" applyFill="1" applyAlignment="1">
      <alignment vertical="center"/>
    </xf>
    <xf numFmtId="0" fontId="10" fillId="0" borderId="7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49" fontId="10" fillId="0" borderId="9" xfId="3" applyNumberFormat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justify" vertical="center" wrapText="1"/>
    </xf>
    <xf numFmtId="164" fontId="5" fillId="0" borderId="0" xfId="1" applyNumberFormat="1" applyFont="1" applyFill="1" applyBorder="1" applyAlignment="1">
      <alignment horizontal="center" vertical="center"/>
    </xf>
    <xf numFmtId="164" fontId="5" fillId="0" borderId="0" xfId="3" applyNumberFormat="1" applyFont="1" applyFill="1" applyBorder="1" applyAlignment="1">
      <alignment vertical="center"/>
    </xf>
    <xf numFmtId="49" fontId="5" fillId="0" borderId="0" xfId="3" applyNumberFormat="1" applyFont="1" applyFill="1" applyBorder="1" applyAlignment="1">
      <alignment vertical="center"/>
    </xf>
    <xf numFmtId="44" fontId="7" fillId="6" borderId="0" xfId="1" applyNumberFormat="1" applyFont="1" applyFill="1" applyBorder="1" applyAlignment="1">
      <alignment vertical="center"/>
    </xf>
    <xf numFmtId="164" fontId="5" fillId="0" borderId="0" xfId="4" applyFont="1" applyFill="1" applyBorder="1" applyAlignment="1">
      <alignment vertical="center"/>
    </xf>
    <xf numFmtId="44" fontId="7" fillId="0" borderId="0" xfId="1" applyNumberFormat="1" applyFont="1" applyFill="1" applyBorder="1" applyAlignment="1">
      <alignment vertical="center"/>
    </xf>
    <xf numFmtId="0" fontId="6" fillId="0" borderId="0" xfId="1" applyFont="1" applyFill="1" applyAlignment="1">
      <alignment horizontal="center"/>
    </xf>
    <xf numFmtId="0" fontId="6" fillId="0" borderId="0" xfId="1" applyNumberFormat="1" applyFont="1" applyFill="1" applyAlignment="1">
      <alignment horizontal="center"/>
    </xf>
    <xf numFmtId="164" fontId="6" fillId="0" borderId="0" xfId="4" applyFont="1" applyFill="1" applyAlignment="1">
      <alignment horizontal="center"/>
    </xf>
    <xf numFmtId="0" fontId="17" fillId="0" borderId="0" xfId="1" applyFont="1" applyFill="1" applyAlignment="1">
      <alignment horizontal="center" vertical="center"/>
    </xf>
    <xf numFmtId="0" fontId="4" fillId="0" borderId="0" xfId="1" applyNumberFormat="1" applyFont="1" applyFill="1" applyAlignment="1">
      <alignment horizontal="center" vertical="center"/>
    </xf>
    <xf numFmtId="164" fontId="4" fillId="0" borderId="0" xfId="4" applyFont="1" applyFill="1" applyAlignment="1">
      <alignment horizontal="center" vertical="center"/>
    </xf>
    <xf numFmtId="0" fontId="7" fillId="0" borderId="0" xfId="1" applyFont="1" applyFill="1" applyAlignment="1">
      <alignment horizontal="center"/>
    </xf>
    <xf numFmtId="0" fontId="17" fillId="0" borderId="0" xfId="1" applyFont="1" applyFill="1" applyAlignment="1">
      <alignment horizontal="right"/>
    </xf>
    <xf numFmtId="0" fontId="4" fillId="0" borderId="0" xfId="1" applyNumberFormat="1" applyFont="1" applyFill="1" applyAlignment="1">
      <alignment horizontal="right"/>
    </xf>
    <xf numFmtId="0" fontId="7" fillId="0" borderId="0" xfId="1" applyFont="1" applyFill="1" applyAlignment="1">
      <alignment horizontal="left"/>
    </xf>
    <xf numFmtId="0" fontId="8" fillId="0" borderId="0" xfId="1" applyFont="1" applyFill="1" applyAlignment="1">
      <alignment horizontal="center" vertical="center"/>
    </xf>
    <xf numFmtId="0" fontId="21" fillId="0" borderId="0" xfId="1" applyFont="1" applyFill="1" applyAlignment="1">
      <alignment horizontal="center"/>
    </xf>
    <xf numFmtId="0" fontId="7" fillId="0" borderId="0" xfId="1" applyNumberFormat="1" applyFont="1" applyFill="1" applyAlignment="1">
      <alignment horizontal="center"/>
    </xf>
    <xf numFmtId="164" fontId="7" fillId="0" borderId="0" xfId="4" applyFont="1" applyFill="1"/>
    <xf numFmtId="0" fontId="4" fillId="0" borderId="0" xfId="1" applyFont="1" applyFill="1" applyAlignment="1">
      <alignment horizontal="left"/>
    </xf>
    <xf numFmtId="0" fontId="4" fillId="0" borderId="0" xfId="1" applyFont="1" applyFill="1" applyAlignment="1">
      <alignment vertical="center"/>
    </xf>
    <xf numFmtId="0" fontId="9" fillId="0" borderId="0" xfId="1" applyFont="1" applyFill="1" applyAlignment="1">
      <alignment horizontal="left"/>
    </xf>
    <xf numFmtId="9" fontId="4" fillId="0" borderId="0" xfId="2" applyFont="1" applyFill="1" applyAlignment="1">
      <alignment horizontal="left" vertical="center"/>
    </xf>
    <xf numFmtId="0" fontId="4" fillId="0" borderId="0" xfId="1" applyNumberFormat="1" applyFont="1" applyFill="1" applyAlignment="1">
      <alignment vertical="center"/>
    </xf>
    <xf numFmtId="164" fontId="4" fillId="0" borderId="0" xfId="4" applyFont="1" applyFill="1" applyAlignment="1">
      <alignment vertical="center"/>
    </xf>
    <xf numFmtId="0" fontId="4" fillId="0" borderId="0" xfId="1" applyNumberFormat="1" applyFont="1" applyFill="1" applyBorder="1" applyAlignment="1">
      <alignment horizontal="left" vertical="center"/>
    </xf>
    <xf numFmtId="164" fontId="4" fillId="0" borderId="0" xfId="4" applyFont="1" applyFill="1" applyBorder="1" applyAlignment="1">
      <alignment horizontal="right" vertical="center"/>
    </xf>
    <xf numFmtId="164" fontId="4" fillId="0" borderId="0" xfId="4" applyFont="1" applyFill="1" applyBorder="1" applyAlignment="1">
      <alignment horizontal="left" vertical="center"/>
    </xf>
    <xf numFmtId="0" fontId="15" fillId="0" borderId="0" xfId="1" applyFont="1" applyFill="1" applyAlignment="1">
      <alignment vertical="top"/>
    </xf>
    <xf numFmtId="0" fontId="10" fillId="0" borderId="12" xfId="1" applyFont="1" applyFill="1" applyBorder="1" applyAlignment="1">
      <alignment horizontal="center" vertical="center" wrapText="1"/>
    </xf>
    <xf numFmtId="165" fontId="10" fillId="0" borderId="12" xfId="3" applyFont="1" applyFill="1" applyBorder="1" applyAlignment="1">
      <alignment horizontal="center" vertical="center" wrapText="1"/>
    </xf>
    <xf numFmtId="164" fontId="10" fillId="0" borderId="12" xfId="4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165" fontId="10" fillId="0" borderId="0" xfId="3" applyFont="1" applyFill="1" applyBorder="1" applyAlignment="1">
      <alignment horizontal="center" vertical="center" wrapText="1"/>
    </xf>
    <xf numFmtId="0" fontId="10" fillId="0" borderId="0" xfId="3" applyNumberFormat="1" applyFont="1" applyFill="1" applyBorder="1" applyAlignment="1">
      <alignment horizontal="center" vertical="center" wrapText="1"/>
    </xf>
    <xf numFmtId="164" fontId="10" fillId="0" borderId="0" xfId="4" applyFont="1" applyFill="1" applyBorder="1" applyAlignment="1">
      <alignment horizontal="right" vertical="center" wrapText="1"/>
    </xf>
    <xf numFmtId="164" fontId="10" fillId="0" borderId="0" xfId="4" applyFont="1" applyFill="1" applyBorder="1" applyAlignment="1">
      <alignment horizontal="center" vertical="center" wrapText="1"/>
    </xf>
    <xf numFmtId="164" fontId="10" fillId="0" borderId="10" xfId="4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165" fontId="5" fillId="0" borderId="12" xfId="3" applyFont="1" applyFill="1" applyBorder="1" applyAlignment="1">
      <alignment vertical="center"/>
    </xf>
    <xf numFmtId="164" fontId="5" fillId="0" borderId="12" xfId="4" applyFont="1" applyFill="1" applyBorder="1" applyAlignment="1">
      <alignment horizontal="right" vertical="center"/>
    </xf>
    <xf numFmtId="164" fontId="5" fillId="0" borderId="12" xfId="4" applyFont="1" applyFill="1" applyBorder="1" applyAlignment="1">
      <alignment vertical="center"/>
    </xf>
    <xf numFmtId="164" fontId="10" fillId="0" borderId="12" xfId="4" applyFont="1" applyFill="1" applyBorder="1" applyAlignment="1">
      <alignment vertical="center"/>
    </xf>
    <xf numFmtId="0" fontId="5" fillId="0" borderId="12" xfId="1" applyFont="1" applyFill="1" applyBorder="1" applyAlignment="1">
      <alignment horizontal="justify" vertical="center" wrapText="1"/>
    </xf>
    <xf numFmtId="0" fontId="5" fillId="0" borderId="12" xfId="3" applyNumberFormat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0" fontId="5" fillId="0" borderId="12" xfId="7" applyFont="1" applyFill="1" applyBorder="1" applyAlignment="1">
      <alignment horizontal="justify" vertical="center" wrapText="1"/>
    </xf>
    <xf numFmtId="0" fontId="5" fillId="0" borderId="12" xfId="9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justify" vertical="center" wrapText="1"/>
    </xf>
    <xf numFmtId="0" fontId="5" fillId="0" borderId="0" xfId="1" applyFont="1" applyFill="1" applyBorder="1" applyAlignment="1">
      <alignment horizontal="center" vertical="center" wrapText="1"/>
    </xf>
    <xf numFmtId="165" fontId="5" fillId="0" borderId="0" xfId="3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horizontal="center" vertical="center"/>
    </xf>
    <xf numFmtId="164" fontId="5" fillId="0" borderId="0" xfId="4" applyFont="1" applyFill="1" applyBorder="1" applyAlignment="1">
      <alignment horizontal="right" vertical="center"/>
    </xf>
    <xf numFmtId="164" fontId="5" fillId="0" borderId="10" xfId="4" applyFont="1" applyFill="1" applyBorder="1" applyAlignment="1">
      <alignment vertical="center"/>
    </xf>
    <xf numFmtId="165" fontId="5" fillId="0" borderId="12" xfId="5" applyFont="1" applyFill="1" applyBorder="1" applyAlignment="1">
      <alignment vertical="center"/>
    </xf>
    <xf numFmtId="165" fontId="5" fillId="0" borderId="12" xfId="5" applyFont="1" applyFill="1" applyBorder="1" applyAlignment="1">
      <alignment horizontal="center" vertical="center"/>
    </xf>
    <xf numFmtId="165" fontId="5" fillId="0" borderId="12" xfId="5" applyFont="1" applyFill="1" applyBorder="1" applyAlignment="1">
      <alignment horizontal="center" vertical="center" wrapText="1"/>
    </xf>
    <xf numFmtId="0" fontId="10" fillId="0" borderId="0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justify" vertical="center" wrapText="1"/>
    </xf>
    <xf numFmtId="165" fontId="5" fillId="0" borderId="2" xfId="3" applyFont="1" applyFill="1" applyBorder="1" applyAlignment="1">
      <alignment vertical="center"/>
    </xf>
    <xf numFmtId="0" fontId="5" fillId="0" borderId="2" xfId="3" applyNumberFormat="1" applyFont="1" applyFill="1" applyBorder="1" applyAlignment="1">
      <alignment horizontal="center" vertical="center"/>
    </xf>
    <xf numFmtId="164" fontId="5" fillId="0" borderId="2" xfId="4" applyFont="1" applyFill="1" applyBorder="1" applyAlignment="1">
      <alignment horizontal="right" vertical="center"/>
    </xf>
    <xf numFmtId="164" fontId="5" fillId="0" borderId="2" xfId="4" applyFont="1" applyFill="1" applyBorder="1" applyAlignment="1">
      <alignment vertical="center"/>
    </xf>
    <xf numFmtId="0" fontId="5" fillId="0" borderId="12" xfId="1" applyFont="1" applyFill="1" applyBorder="1" applyAlignment="1">
      <alignment horizontal="justify" vertical="top" wrapText="1"/>
    </xf>
    <xf numFmtId="165" fontId="5" fillId="0" borderId="0" xfId="5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vertical="center"/>
    </xf>
    <xf numFmtId="0" fontId="6" fillId="0" borderId="12" xfId="1" applyFont="1" applyFill="1" applyBorder="1" applyAlignment="1">
      <alignment horizontal="center" vertical="center"/>
    </xf>
    <xf numFmtId="165" fontId="6" fillId="0" borderId="12" xfId="3" applyFont="1" applyFill="1" applyBorder="1" applyAlignment="1">
      <alignment vertical="center"/>
    </xf>
    <xf numFmtId="0" fontId="6" fillId="0" borderId="12" xfId="3" applyNumberFormat="1" applyFont="1" applyFill="1" applyBorder="1" applyAlignment="1">
      <alignment horizontal="center" vertical="center"/>
    </xf>
    <xf numFmtId="164" fontId="6" fillId="0" borderId="12" xfId="4" applyFont="1" applyFill="1" applyBorder="1" applyAlignment="1">
      <alignment horizontal="right" vertical="center"/>
    </xf>
    <xf numFmtId="164" fontId="6" fillId="0" borderId="12" xfId="4" applyFont="1" applyFill="1" applyBorder="1" applyAlignment="1">
      <alignment vertical="center"/>
    </xf>
    <xf numFmtId="0" fontId="7" fillId="8" borderId="0" xfId="1" applyFont="1" applyFill="1" applyBorder="1" applyAlignment="1">
      <alignment vertical="center"/>
    </xf>
    <xf numFmtId="0" fontId="28" fillId="2" borderId="13" xfId="11" applyNumberFormat="1" applyFont="1" applyFill="1" applyBorder="1" applyAlignment="1">
      <alignment horizontal="center" vertical="top" wrapText="1"/>
    </xf>
    <xf numFmtId="0" fontId="28" fillId="2" borderId="14" xfId="11" applyNumberFormat="1" applyFont="1" applyFill="1" applyBorder="1" applyAlignment="1">
      <alignment horizontal="center" vertical="top" wrapText="1"/>
    </xf>
    <xf numFmtId="0" fontId="28" fillId="2" borderId="15" xfId="11" applyNumberFormat="1" applyFont="1" applyFill="1" applyBorder="1" applyAlignment="1">
      <alignment horizontal="center" vertical="top" wrapText="1"/>
    </xf>
    <xf numFmtId="0" fontId="29" fillId="2" borderId="38" xfId="12" applyFont="1" applyFill="1" applyBorder="1" applyAlignment="1">
      <alignment vertical="center"/>
    </xf>
    <xf numFmtId="49" fontId="30" fillId="0" borderId="39" xfId="11" applyNumberFormat="1" applyFont="1" applyFill="1" applyBorder="1" applyAlignment="1">
      <alignment horizontal="center" vertical="center" wrapText="1"/>
    </xf>
    <xf numFmtId="0" fontId="30" fillId="2" borderId="39" xfId="11" applyNumberFormat="1" applyFont="1" applyFill="1" applyBorder="1" applyAlignment="1">
      <alignment horizontal="center" vertical="center" wrapText="1"/>
    </xf>
    <xf numFmtId="0" fontId="27" fillId="0" borderId="40" xfId="16" applyFont="1" applyBorder="1" applyAlignment="1">
      <alignment horizontal="center" vertical="center" wrapText="1"/>
    </xf>
    <xf numFmtId="0" fontId="29" fillId="0" borderId="40" xfId="16" applyFont="1" applyBorder="1" applyAlignment="1">
      <alignment horizontal="center" vertical="center" wrapText="1"/>
    </xf>
    <xf numFmtId="0" fontId="27" fillId="9" borderId="41" xfId="13" applyFont="1" applyFill="1" applyBorder="1" applyAlignment="1">
      <alignment horizontal="center" vertical="center"/>
    </xf>
    <xf numFmtId="10" fontId="27" fillId="9" borderId="41" xfId="15" applyNumberFormat="1" applyFont="1" applyFill="1" applyBorder="1" applyAlignment="1">
      <alignment horizontal="center" vertical="center"/>
    </xf>
    <xf numFmtId="0" fontId="29" fillId="0" borderId="42" xfId="16" applyFont="1" applyBorder="1" applyAlignment="1">
      <alignment horizontal="center" vertical="center" wrapText="1"/>
    </xf>
    <xf numFmtId="0" fontId="27" fillId="10" borderId="43" xfId="13" applyFont="1" applyFill="1" applyBorder="1" applyAlignment="1">
      <alignment horizontal="right" vertical="center" wrapText="1"/>
    </xf>
    <xf numFmtId="0" fontId="27" fillId="9" borderId="16" xfId="13" applyFont="1" applyFill="1" applyBorder="1" applyAlignment="1">
      <alignment horizontal="left" vertical="center"/>
    </xf>
    <xf numFmtId="165" fontId="31" fillId="9" borderId="17" xfId="14" applyNumberFormat="1" applyFont="1" applyFill="1" applyBorder="1" applyAlignment="1">
      <alignment vertical="center"/>
    </xf>
    <xf numFmtId="4" fontId="29" fillId="9" borderId="17" xfId="18" applyNumberFormat="1" applyFont="1" applyFill="1" applyBorder="1" applyAlignment="1">
      <alignment vertical="center"/>
    </xf>
    <xf numFmtId="0" fontId="29" fillId="9" borderId="18" xfId="18" applyFont="1" applyFill="1" applyBorder="1" applyAlignment="1">
      <alignment vertical="center"/>
    </xf>
    <xf numFmtId="165" fontId="10" fillId="0" borderId="3" xfId="3" applyFont="1" applyFill="1" applyBorder="1" applyAlignment="1">
      <alignment horizontal="center" vertical="center" wrapText="1"/>
    </xf>
    <xf numFmtId="0" fontId="10" fillId="0" borderId="46" xfId="1" applyFont="1" applyFill="1" applyBorder="1" applyAlignment="1">
      <alignment horizontal="center" vertical="center" wrapText="1"/>
    </xf>
    <xf numFmtId="0" fontId="10" fillId="0" borderId="47" xfId="1" applyFont="1" applyFill="1" applyBorder="1" applyAlignment="1">
      <alignment horizontal="center" vertical="center" wrapText="1"/>
    </xf>
    <xf numFmtId="164" fontId="10" fillId="0" borderId="47" xfId="4" applyFont="1" applyFill="1" applyBorder="1" applyAlignment="1">
      <alignment horizontal="center" vertical="center" wrapText="1"/>
    </xf>
    <xf numFmtId="0" fontId="10" fillId="0" borderId="40" xfId="1" applyFont="1" applyFill="1" applyBorder="1" applyAlignment="1">
      <alignment horizontal="center" vertical="center" wrapText="1"/>
    </xf>
    <xf numFmtId="165" fontId="10" fillId="0" borderId="40" xfId="3" applyFont="1" applyFill="1" applyBorder="1" applyAlignment="1">
      <alignment horizontal="center" vertical="center" wrapText="1"/>
    </xf>
    <xf numFmtId="165" fontId="22" fillId="0" borderId="0" xfId="3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165" fontId="19" fillId="0" borderId="0" xfId="3" applyFont="1" applyFill="1" applyBorder="1" applyAlignment="1">
      <alignment vertical="center"/>
    </xf>
    <xf numFmtId="0" fontId="5" fillId="0" borderId="0" xfId="7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 wrapText="1"/>
    </xf>
    <xf numFmtId="165" fontId="19" fillId="0" borderId="0" xfId="5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165" fontId="6" fillId="0" borderId="0" xfId="3" applyFont="1" applyFill="1" applyBorder="1" applyAlignment="1">
      <alignment vertical="center"/>
    </xf>
    <xf numFmtId="165" fontId="6" fillId="0" borderId="0" xfId="3" applyFont="1" applyFill="1" applyBorder="1" applyAlignment="1">
      <alignment horizontal="center" vertical="center"/>
    </xf>
    <xf numFmtId="0" fontId="10" fillId="0" borderId="48" xfId="1" applyFont="1" applyFill="1" applyBorder="1" applyAlignment="1">
      <alignment horizontal="center" vertical="center"/>
    </xf>
    <xf numFmtId="0" fontId="10" fillId="0" borderId="49" xfId="1" applyFont="1" applyFill="1" applyBorder="1" applyAlignment="1">
      <alignment horizontal="justify" vertical="center" wrapText="1"/>
    </xf>
    <xf numFmtId="0" fontId="5" fillId="0" borderId="49" xfId="1" applyFont="1" applyFill="1" applyBorder="1" applyAlignment="1">
      <alignment horizontal="center" vertical="center"/>
    </xf>
    <xf numFmtId="165" fontId="19" fillId="0" borderId="49" xfId="3" applyFont="1" applyFill="1" applyBorder="1" applyAlignment="1">
      <alignment vertical="center"/>
    </xf>
    <xf numFmtId="165" fontId="5" fillId="0" borderId="49" xfId="3" applyFont="1" applyFill="1" applyBorder="1" applyAlignment="1">
      <alignment vertical="center"/>
    </xf>
    <xf numFmtId="165" fontId="5" fillId="0" borderId="50" xfId="3" applyFont="1" applyFill="1" applyBorder="1" applyAlignment="1">
      <alignment horizontal="center" vertical="center"/>
    </xf>
    <xf numFmtId="0" fontId="5" fillId="0" borderId="40" xfId="1" applyFont="1" applyFill="1" applyBorder="1" applyAlignment="1">
      <alignment horizontal="center" vertical="center"/>
    </xf>
    <xf numFmtId="0" fontId="5" fillId="0" borderId="40" xfId="1" applyFont="1" applyFill="1" applyBorder="1" applyAlignment="1">
      <alignment horizontal="justify" vertical="center" wrapText="1"/>
    </xf>
    <xf numFmtId="165" fontId="5" fillId="0" borderId="40" xfId="5" applyFont="1" applyFill="1" applyBorder="1" applyAlignment="1">
      <alignment horizontal="center" vertical="center"/>
    </xf>
    <xf numFmtId="0" fontId="5" fillId="0" borderId="40" xfId="3" applyNumberFormat="1" applyFont="1" applyFill="1" applyBorder="1" applyAlignment="1">
      <alignment horizontal="center" vertical="center"/>
    </xf>
    <xf numFmtId="164" fontId="5" fillId="0" borderId="40" xfId="4" applyFont="1" applyFill="1" applyBorder="1" applyAlignment="1">
      <alignment horizontal="right" vertical="center"/>
    </xf>
    <xf numFmtId="164" fontId="5" fillId="0" borderId="40" xfId="4" applyFont="1" applyFill="1" applyBorder="1" applyAlignment="1">
      <alignment vertical="center"/>
    </xf>
    <xf numFmtId="0" fontId="5" fillId="0" borderId="40" xfId="7" applyFont="1" applyFill="1" applyBorder="1" applyAlignment="1">
      <alignment horizontal="center" vertical="center"/>
    </xf>
    <xf numFmtId="0" fontId="5" fillId="0" borderId="40" xfId="1" applyFont="1" applyFill="1" applyBorder="1" applyAlignment="1">
      <alignment horizontal="center" vertical="center" wrapText="1"/>
    </xf>
    <xf numFmtId="165" fontId="5" fillId="0" borderId="40" xfId="5" applyFont="1" applyFill="1" applyBorder="1" applyAlignment="1">
      <alignment horizontal="center" vertical="center" wrapText="1"/>
    </xf>
    <xf numFmtId="165" fontId="5" fillId="0" borderId="40" xfId="3" applyFont="1" applyFill="1" applyBorder="1" applyAlignment="1">
      <alignment vertical="center"/>
    </xf>
    <xf numFmtId="165" fontId="5" fillId="0" borderId="40" xfId="5" applyFont="1" applyFill="1" applyBorder="1" applyAlignment="1">
      <alignment vertical="center"/>
    </xf>
    <xf numFmtId="0" fontId="10" fillId="0" borderId="40" xfId="1" applyFont="1" applyFill="1" applyBorder="1" applyAlignment="1">
      <alignment horizontal="center" vertical="center"/>
    </xf>
    <xf numFmtId="0" fontId="10" fillId="10" borderId="3" xfId="1" applyFont="1" applyFill="1" applyBorder="1" applyAlignment="1">
      <alignment horizontal="center" vertical="center" wrapText="1"/>
    </xf>
    <xf numFmtId="165" fontId="10" fillId="10" borderId="3" xfId="3" applyFont="1" applyFill="1" applyBorder="1" applyAlignment="1">
      <alignment horizontal="center" vertical="center" wrapText="1"/>
    </xf>
    <xf numFmtId="0" fontId="10" fillId="10" borderId="3" xfId="3" applyNumberFormat="1" applyFont="1" applyFill="1" applyBorder="1" applyAlignment="1">
      <alignment horizontal="center" vertical="center" wrapText="1"/>
    </xf>
    <xf numFmtId="164" fontId="10" fillId="10" borderId="3" xfId="4" applyFont="1" applyFill="1" applyBorder="1" applyAlignment="1">
      <alignment horizontal="center" vertical="center" wrapText="1"/>
    </xf>
    <xf numFmtId="49" fontId="5" fillId="4" borderId="10" xfId="3" applyNumberFormat="1" applyFont="1" applyFill="1" applyBorder="1" applyAlignment="1">
      <alignment vertical="center"/>
    </xf>
    <xf numFmtId="165" fontId="10" fillId="0" borderId="9" xfId="3" applyFont="1" applyFill="1" applyBorder="1" applyAlignment="1">
      <alignment horizontal="center" vertical="center" wrapText="1"/>
    </xf>
    <xf numFmtId="10" fontId="5" fillId="0" borderId="46" xfId="6" applyNumberFormat="1" applyFont="1" applyFill="1" applyBorder="1" applyAlignment="1">
      <alignment vertical="center"/>
    </xf>
    <xf numFmtId="49" fontId="5" fillId="4" borderId="11" xfId="3" applyNumberFormat="1" applyFont="1" applyFill="1" applyBorder="1" applyAlignment="1">
      <alignment vertical="center"/>
    </xf>
    <xf numFmtId="165" fontId="10" fillId="0" borderId="46" xfId="3" applyFont="1" applyFill="1" applyBorder="1" applyAlignment="1">
      <alignment horizontal="center" vertical="center" wrapText="1"/>
    </xf>
    <xf numFmtId="10" fontId="5" fillId="0" borderId="0" xfId="3" applyNumberFormat="1" applyFont="1" applyFill="1" applyBorder="1" applyAlignment="1">
      <alignment horizontal="center" vertical="center" wrapText="1"/>
    </xf>
    <xf numFmtId="165" fontId="10" fillId="0" borderId="8" xfId="3" applyFont="1" applyFill="1" applyBorder="1" applyAlignment="1">
      <alignment horizontal="center" vertical="center" wrapText="1"/>
    </xf>
    <xf numFmtId="49" fontId="5" fillId="0" borderId="11" xfId="3" applyNumberFormat="1" applyFont="1" applyFill="1" applyBorder="1" applyAlignment="1">
      <alignment vertical="center"/>
    </xf>
    <xf numFmtId="0" fontId="10" fillId="0" borderId="2" xfId="1" applyFont="1" applyFill="1" applyBorder="1" applyAlignment="1">
      <alignment horizontal="justify" vertical="center" wrapText="1"/>
    </xf>
    <xf numFmtId="164" fontId="5" fillId="0" borderId="2" xfId="4" applyFont="1" applyFill="1" applyBorder="1" applyAlignment="1">
      <alignment horizontal="center" vertical="center"/>
    </xf>
    <xf numFmtId="49" fontId="5" fillId="0" borderId="2" xfId="3" applyNumberFormat="1" applyFont="1" applyFill="1" applyBorder="1" applyAlignment="1">
      <alignment vertical="center"/>
    </xf>
    <xf numFmtId="165" fontId="5" fillId="0" borderId="2" xfId="3" applyFont="1" applyFill="1" applyBorder="1" applyAlignment="1">
      <alignment horizontal="center" vertical="center"/>
    </xf>
    <xf numFmtId="0" fontId="10" fillId="11" borderId="40" xfId="1" applyFont="1" applyFill="1" applyBorder="1" applyAlignment="1">
      <alignment horizontal="center" vertical="center"/>
    </xf>
    <xf numFmtId="0" fontId="10" fillId="11" borderId="40" xfId="1" applyFont="1" applyFill="1" applyBorder="1" applyAlignment="1">
      <alignment horizontal="justify" vertical="center" wrapText="1"/>
    </xf>
    <xf numFmtId="164" fontId="5" fillId="11" borderId="40" xfId="1" applyNumberFormat="1" applyFont="1" applyFill="1" applyBorder="1" applyAlignment="1">
      <alignment horizontal="center" vertical="center"/>
    </xf>
    <xf numFmtId="165" fontId="5" fillId="11" borderId="40" xfId="3" applyFont="1" applyFill="1" applyBorder="1" applyAlignment="1">
      <alignment vertical="center"/>
    </xf>
    <xf numFmtId="164" fontId="5" fillId="11" borderId="40" xfId="4" applyFont="1" applyFill="1" applyBorder="1" applyAlignment="1">
      <alignment horizontal="center" vertical="center"/>
    </xf>
    <xf numFmtId="49" fontId="6" fillId="3" borderId="5" xfId="3" applyNumberFormat="1" applyFont="1" applyFill="1" applyBorder="1" applyAlignment="1">
      <alignment vertical="center"/>
    </xf>
    <xf numFmtId="0" fontId="11" fillId="10" borderId="40" xfId="1" applyFont="1" applyFill="1" applyBorder="1" applyAlignment="1">
      <alignment horizontal="center" vertical="center"/>
    </xf>
    <xf numFmtId="0" fontId="12" fillId="10" borderId="40" xfId="1" applyFont="1" applyFill="1" applyBorder="1" applyAlignment="1">
      <alignment vertical="center"/>
    </xf>
    <xf numFmtId="0" fontId="6" fillId="10" borderId="40" xfId="1" applyFont="1" applyFill="1" applyBorder="1" applyAlignment="1">
      <alignment horizontal="center" vertical="center"/>
    </xf>
    <xf numFmtId="165" fontId="6" fillId="10" borderId="40" xfId="3" applyFont="1" applyFill="1" applyBorder="1" applyAlignment="1">
      <alignment vertical="center"/>
    </xf>
    <xf numFmtId="165" fontId="6" fillId="10" borderId="40" xfId="3" applyFont="1" applyFill="1" applyBorder="1" applyAlignment="1">
      <alignment horizontal="center" vertical="center"/>
    </xf>
    <xf numFmtId="49" fontId="6" fillId="10" borderId="40" xfId="3" applyNumberFormat="1" applyFont="1" applyFill="1" applyBorder="1" applyAlignment="1">
      <alignment vertical="center"/>
    </xf>
    <xf numFmtId="10" fontId="5" fillId="0" borderId="46" xfId="4" applyNumberFormat="1" applyFont="1" applyFill="1" applyBorder="1" applyAlignment="1">
      <alignment horizontal="center" vertical="center"/>
    </xf>
    <xf numFmtId="164" fontId="10" fillId="0" borderId="40" xfId="3" applyNumberFormat="1" applyFont="1" applyFill="1" applyBorder="1" applyAlignment="1">
      <alignment horizontal="center" vertical="center" wrapText="1"/>
    </xf>
    <xf numFmtId="0" fontId="11" fillId="10" borderId="1" xfId="1" applyFont="1" applyFill="1" applyBorder="1" applyAlignment="1">
      <alignment horizontal="center" vertical="center"/>
    </xf>
    <xf numFmtId="0" fontId="12" fillId="10" borderId="1" xfId="1" applyFont="1" applyFill="1" applyBorder="1" applyAlignment="1">
      <alignment vertical="center"/>
    </xf>
    <xf numFmtId="0" fontId="6" fillId="10" borderId="1" xfId="1" applyFont="1" applyFill="1" applyBorder="1" applyAlignment="1">
      <alignment horizontal="center" vertical="center"/>
    </xf>
    <xf numFmtId="165" fontId="6" fillId="10" borderId="1" xfId="3" applyFont="1" applyFill="1" applyBorder="1" applyAlignment="1">
      <alignment vertical="center"/>
    </xf>
    <xf numFmtId="0" fontId="6" fillId="10" borderId="1" xfId="3" applyNumberFormat="1" applyFont="1" applyFill="1" applyBorder="1" applyAlignment="1">
      <alignment horizontal="center" vertical="center"/>
    </xf>
    <xf numFmtId="164" fontId="6" fillId="10" borderId="1" xfId="4" applyFont="1" applyFill="1" applyBorder="1" applyAlignment="1">
      <alignment horizontal="right" vertical="center"/>
    </xf>
    <xf numFmtId="164" fontId="6" fillId="10" borderId="1" xfId="4" applyFont="1" applyFill="1" applyBorder="1" applyAlignment="1">
      <alignment vertical="center"/>
    </xf>
    <xf numFmtId="164" fontId="10" fillId="10" borderId="1" xfId="4" applyFont="1" applyFill="1" applyBorder="1" applyAlignment="1">
      <alignment vertical="center"/>
    </xf>
    <xf numFmtId="0" fontId="10" fillId="0" borderId="40" xfId="1" applyFont="1" applyFill="1" applyBorder="1" applyAlignment="1">
      <alignment horizontal="justify" vertical="center" wrapText="1"/>
    </xf>
    <xf numFmtId="164" fontId="5" fillId="0" borderId="40" xfId="4" applyFont="1" applyFill="1" applyBorder="1" applyAlignment="1">
      <alignment horizontal="center" vertical="center"/>
    </xf>
    <xf numFmtId="164" fontId="5" fillId="0" borderId="40" xfId="3" applyNumberFormat="1" applyFont="1" applyFill="1" applyBorder="1" applyAlignment="1">
      <alignment vertical="center"/>
    </xf>
    <xf numFmtId="164" fontId="10" fillId="0" borderId="40" xfId="1" applyNumberFormat="1" applyFont="1" applyFill="1" applyBorder="1" applyAlignment="1">
      <alignment horizontal="center" vertical="center"/>
    </xf>
    <xf numFmtId="165" fontId="10" fillId="0" borderId="40" xfId="3" applyFont="1" applyFill="1" applyBorder="1" applyAlignment="1">
      <alignment vertical="center"/>
    </xf>
    <xf numFmtId="164" fontId="10" fillId="0" borderId="40" xfId="4" applyFont="1" applyFill="1" applyBorder="1" applyAlignment="1">
      <alignment horizontal="center" vertical="center"/>
    </xf>
    <xf numFmtId="0" fontId="10" fillId="12" borderId="40" xfId="1" applyFont="1" applyFill="1" applyBorder="1" applyAlignment="1">
      <alignment horizontal="center" vertical="center"/>
    </xf>
    <xf numFmtId="0" fontId="10" fillId="12" borderId="40" xfId="1" applyFont="1" applyFill="1" applyBorder="1" applyAlignment="1">
      <alignment horizontal="justify" vertical="center" wrapText="1"/>
    </xf>
    <xf numFmtId="10" fontId="5" fillId="12" borderId="40" xfId="4" applyNumberFormat="1" applyFont="1" applyFill="1" applyBorder="1" applyAlignment="1">
      <alignment horizontal="center" vertical="center"/>
    </xf>
    <xf numFmtId="10" fontId="5" fillId="12" borderId="40" xfId="3" applyNumberFormat="1" applyFont="1" applyFill="1" applyBorder="1" applyAlignment="1">
      <alignment horizontal="center" vertical="center" wrapText="1"/>
    </xf>
    <xf numFmtId="164" fontId="5" fillId="12" borderId="40" xfId="1" applyNumberFormat="1" applyFont="1" applyFill="1" applyBorder="1" applyAlignment="1">
      <alignment horizontal="center" vertical="center"/>
    </xf>
    <xf numFmtId="10" fontId="5" fillId="12" borderId="40" xfId="6" applyNumberFormat="1" applyFont="1" applyFill="1" applyBorder="1" applyAlignment="1">
      <alignment vertical="center"/>
    </xf>
    <xf numFmtId="0" fontId="0" fillId="0" borderId="0" xfId="0" applyBorder="1"/>
    <xf numFmtId="0" fontId="0" fillId="0" borderId="52" xfId="0" applyFill="1" applyBorder="1"/>
    <xf numFmtId="0" fontId="35" fillId="0" borderId="52" xfId="0" applyFont="1" applyFill="1" applyBorder="1"/>
    <xf numFmtId="0" fontId="35" fillId="0" borderId="52" xfId="0" applyFont="1" applyFill="1" applyBorder="1" applyAlignment="1">
      <alignment horizontal="center" wrapText="1"/>
    </xf>
    <xf numFmtId="0" fontId="0" fillId="0" borderId="41" xfId="0" applyBorder="1" applyAlignment="1">
      <alignment horizontal="center"/>
    </xf>
    <xf numFmtId="0" fontId="2" fillId="0" borderId="41" xfId="0" applyFont="1" applyFill="1" applyBorder="1"/>
    <xf numFmtId="2" fontId="2" fillId="0" borderId="41" xfId="0" applyNumberFormat="1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40" xfId="0" applyFont="1" applyFill="1" applyBorder="1"/>
    <xf numFmtId="2" fontId="2" fillId="0" borderId="40" xfId="0" applyNumberFormat="1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2" xfId="0" applyFont="1" applyFill="1" applyBorder="1"/>
    <xf numFmtId="2" fontId="2" fillId="0" borderId="42" xfId="0" applyNumberFormat="1" applyFont="1" applyFill="1" applyBorder="1" applyAlignment="1">
      <alignment horizontal="center"/>
    </xf>
    <xf numFmtId="2" fontId="34" fillId="0" borderId="52" xfId="0" applyNumberFormat="1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25" fillId="0" borderId="40" xfId="0" applyFont="1" applyFill="1" applyBorder="1"/>
    <xf numFmtId="0" fontId="0" fillId="0" borderId="42" xfId="0" applyFill="1" applyBorder="1" applyAlignment="1">
      <alignment horizontal="center"/>
    </xf>
    <xf numFmtId="0" fontId="2" fillId="0" borderId="42" xfId="0" applyFont="1" applyFill="1" applyBorder="1"/>
    <xf numFmtId="0" fontId="2" fillId="0" borderId="41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34" fillId="0" borderId="52" xfId="0" applyFont="1" applyFill="1" applyBorder="1" applyAlignment="1">
      <alignment horizontal="center"/>
    </xf>
    <xf numFmtId="0" fontId="0" fillId="0" borderId="41" xfId="0" applyFont="1" applyFill="1" applyBorder="1"/>
    <xf numFmtId="0" fontId="25" fillId="0" borderId="42" xfId="0" applyFont="1" applyFill="1" applyBorder="1" applyAlignment="1">
      <alignment wrapText="1"/>
    </xf>
    <xf numFmtId="0" fontId="25" fillId="0" borderId="53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34" fillId="0" borderId="0" xfId="0" applyFont="1" applyFill="1" applyBorder="1"/>
    <xf numFmtId="0" fontId="8" fillId="0" borderId="0" xfId="7" applyFont="1" applyFill="1" applyAlignment="1">
      <alignment vertical="center"/>
    </xf>
    <xf numFmtId="165" fontId="5" fillId="0" borderId="40" xfId="3" applyFont="1" applyFill="1" applyBorder="1" applyAlignment="1">
      <alignment horizontal="center" vertical="center"/>
    </xf>
    <xf numFmtId="0" fontId="36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/>
    </xf>
    <xf numFmtId="0" fontId="37" fillId="0" borderId="40" xfId="0" applyFont="1" applyFill="1" applyBorder="1" applyAlignment="1">
      <alignment vertical="center" wrapText="1"/>
    </xf>
    <xf numFmtId="49" fontId="37" fillId="0" borderId="40" xfId="0" applyNumberFormat="1" applyFont="1" applyFill="1" applyBorder="1" applyAlignment="1">
      <alignment horizontal="center" vertical="center" wrapText="1"/>
    </xf>
    <xf numFmtId="0" fontId="16" fillId="0" borderId="12" xfId="3" applyNumberFormat="1" applyFont="1" applyFill="1" applyBorder="1" applyAlignment="1">
      <alignment horizontal="center" vertical="center"/>
    </xf>
    <xf numFmtId="0" fontId="5" fillId="0" borderId="40" xfId="7" applyFont="1" applyFill="1" applyBorder="1" applyAlignment="1">
      <alignment horizontal="center" vertical="center" wrapText="1"/>
    </xf>
    <xf numFmtId="0" fontId="20" fillId="0" borderId="0" xfId="1" applyFont="1" applyFill="1" applyAlignment="1">
      <alignment horizontal="center"/>
    </xf>
    <xf numFmtId="0" fontId="18" fillId="0" borderId="0" xfId="1" applyFont="1" applyFill="1" applyAlignment="1">
      <alignment vertical="top"/>
    </xf>
    <xf numFmtId="0" fontId="23" fillId="0" borderId="0" xfId="1" applyFont="1" applyFill="1" applyAlignment="1">
      <alignment vertical="top"/>
    </xf>
    <xf numFmtId="0" fontId="15" fillId="0" borderId="0" xfId="1" applyNumberFormat="1" applyFont="1" applyFill="1" applyAlignment="1">
      <alignment vertical="top"/>
    </xf>
    <xf numFmtId="164" fontId="15" fillId="0" borderId="0" xfId="4" applyFont="1" applyFill="1" applyAlignment="1">
      <alignment vertical="top"/>
    </xf>
    <xf numFmtId="165" fontId="19" fillId="0" borderId="0" xfId="3" applyFont="1" applyFill="1" applyAlignment="1">
      <alignment vertical="center"/>
    </xf>
    <xf numFmtId="0" fontId="10" fillId="0" borderId="12" xfId="3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165" fontId="29" fillId="0" borderId="40" xfId="17" applyNumberFormat="1" applyFont="1" applyBorder="1" applyAlignment="1">
      <alignment horizontal="left" vertical="center" wrapText="1"/>
    </xf>
    <xf numFmtId="0" fontId="32" fillId="9" borderId="36" xfId="18" applyFont="1" applyFill="1" applyBorder="1" applyAlignment="1">
      <alignment horizontal="left" vertical="center" wrapText="1"/>
    </xf>
    <xf numFmtId="0" fontId="32" fillId="9" borderId="0" xfId="18" applyFont="1" applyFill="1" applyBorder="1" applyAlignment="1">
      <alignment horizontal="left" vertical="center" wrapText="1"/>
    </xf>
    <xf numFmtId="0" fontId="32" fillId="9" borderId="37" xfId="18" applyFont="1" applyFill="1" applyBorder="1" applyAlignment="1">
      <alignment horizontal="left" vertical="center" wrapText="1"/>
    </xf>
    <xf numFmtId="2" fontId="5" fillId="0" borderId="40" xfId="7" applyNumberFormat="1" applyFont="1" applyFill="1" applyBorder="1" applyAlignment="1">
      <alignment horizontal="center" vertical="center"/>
    </xf>
    <xf numFmtId="0" fontId="5" fillId="0" borderId="56" xfId="1" applyFont="1" applyFill="1" applyBorder="1" applyAlignment="1">
      <alignment horizontal="justify" vertical="center" wrapText="1"/>
    </xf>
    <xf numFmtId="0" fontId="38" fillId="0" borderId="40" xfId="0" applyFont="1" applyFill="1" applyBorder="1" applyAlignment="1">
      <alignment horizontal="center" vertical="center" wrapText="1"/>
    </xf>
    <xf numFmtId="165" fontId="5" fillId="0" borderId="0" xfId="5" applyFont="1" applyFill="1" applyBorder="1" applyAlignment="1">
      <alignment horizontal="center" vertical="center"/>
    </xf>
    <xf numFmtId="0" fontId="5" fillId="0" borderId="40" xfId="0" applyFont="1" applyBorder="1" applyAlignment="1">
      <alignment horizontal="justify" vertical="center" wrapText="1"/>
    </xf>
    <xf numFmtId="0" fontId="5" fillId="0" borderId="41" xfId="0" applyFont="1" applyBorder="1" applyAlignment="1">
      <alignment horizontal="justify" vertical="center" wrapText="1"/>
    </xf>
    <xf numFmtId="0" fontId="6" fillId="0" borderId="0" xfId="3" applyNumberFormat="1" applyFont="1" applyFill="1" applyBorder="1" applyAlignment="1">
      <alignment horizontal="center" vertical="center"/>
    </xf>
    <xf numFmtId="164" fontId="6" fillId="0" borderId="0" xfId="4" applyFont="1" applyFill="1" applyBorder="1" applyAlignment="1">
      <alignment horizontal="right" vertical="center"/>
    </xf>
    <xf numFmtId="164" fontId="6" fillId="0" borderId="0" xfId="4" applyFont="1" applyFill="1" applyBorder="1" applyAlignment="1">
      <alignment vertical="center"/>
    </xf>
    <xf numFmtId="164" fontId="10" fillId="0" borderId="0" xfId="4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26" fillId="0" borderId="22" xfId="7" applyFont="1" applyBorder="1" applyAlignment="1">
      <alignment horizontal="center"/>
    </xf>
    <xf numFmtId="0" fontId="26" fillId="0" borderId="31" xfId="7" applyFont="1" applyBorder="1" applyAlignment="1">
      <alignment horizontal="left"/>
    </xf>
    <xf numFmtId="0" fontId="26" fillId="0" borderId="32" xfId="7" applyFont="1" applyBorder="1" applyAlignment="1">
      <alignment horizontal="center"/>
    </xf>
    <xf numFmtId="0" fontId="26" fillId="0" borderId="33" xfId="7" applyFont="1" applyBorder="1" applyAlignment="1">
      <alignment horizontal="center"/>
    </xf>
    <xf numFmtId="2" fontId="27" fillId="0" borderId="40" xfId="8" applyNumberFormat="1" applyFont="1" applyBorder="1" applyAlignment="1">
      <alignment horizontal="center" vertical="center" wrapText="1"/>
    </xf>
    <xf numFmtId="2" fontId="27" fillId="0" borderId="40" xfId="8" applyNumberFormat="1" applyFont="1" applyFill="1" applyBorder="1" applyAlignment="1">
      <alignment horizontal="center" vertical="center" wrapText="1"/>
    </xf>
    <xf numFmtId="2" fontId="29" fillId="0" borderId="40" xfId="8" applyNumberFormat="1" applyFont="1" applyFill="1" applyBorder="1" applyAlignment="1">
      <alignment horizontal="center" vertical="center" wrapText="1"/>
    </xf>
    <xf numFmtId="2" fontId="29" fillId="0" borderId="40" xfId="8" applyNumberFormat="1" applyFont="1" applyBorder="1" applyAlignment="1">
      <alignment horizontal="center" vertical="center" wrapText="1"/>
    </xf>
    <xf numFmtId="2" fontId="29" fillId="0" borderId="42" xfId="8" applyNumberFormat="1" applyFont="1" applyBorder="1" applyAlignment="1">
      <alignment horizontal="center" vertical="center" wrapText="1"/>
    </xf>
    <xf numFmtId="167" fontId="39" fillId="13" borderId="57" xfId="3" applyNumberFormat="1" applyFont="1" applyFill="1" applyBorder="1" applyAlignment="1">
      <alignment horizontal="center" vertical="center"/>
    </xf>
    <xf numFmtId="0" fontId="2" fillId="9" borderId="0" xfId="7" applyFill="1"/>
    <xf numFmtId="0" fontId="2" fillId="0" borderId="21" xfId="7" applyBorder="1" applyAlignment="1">
      <alignment wrapText="1"/>
    </xf>
    <xf numFmtId="0" fontId="29" fillId="9" borderId="64" xfId="16" applyFont="1" applyFill="1" applyBorder="1"/>
    <xf numFmtId="0" fontId="29" fillId="9" borderId="65" xfId="16" applyFont="1" applyFill="1" applyBorder="1"/>
    <xf numFmtId="0" fontId="29" fillId="9" borderId="66" xfId="16" applyFont="1" applyFill="1" applyBorder="1"/>
    <xf numFmtId="0" fontId="2" fillId="0" borderId="0" xfId="7"/>
    <xf numFmtId="0" fontId="5" fillId="2" borderId="0" xfId="7" applyFont="1" applyFill="1" applyAlignment="1">
      <alignment vertical="center"/>
    </xf>
    <xf numFmtId="0" fontId="19" fillId="0" borderId="0" xfId="7" applyFont="1" applyAlignment="1">
      <alignment vertical="center"/>
    </xf>
    <xf numFmtId="0" fontId="19" fillId="0" borderId="0" xfId="7" applyFont="1" applyAlignment="1">
      <alignment horizontal="center" vertical="center"/>
    </xf>
    <xf numFmtId="165" fontId="19" fillId="0" borderId="0" xfId="9" applyFont="1" applyAlignment="1">
      <alignment vertical="center"/>
    </xf>
    <xf numFmtId="0" fontId="19" fillId="0" borderId="0" xfId="9" applyNumberFormat="1" applyFont="1" applyAlignment="1">
      <alignment vertical="center"/>
    </xf>
    <xf numFmtId="0" fontId="41" fillId="14" borderId="21" xfId="0" applyFont="1" applyFill="1" applyBorder="1" applyAlignment="1">
      <alignment vertical="center" wrapText="1"/>
    </xf>
    <xf numFmtId="0" fontId="42" fillId="14" borderId="21" xfId="0" applyFont="1" applyFill="1" applyBorder="1"/>
    <xf numFmtId="0" fontId="42" fillId="14" borderId="21" xfId="0" applyFont="1" applyFill="1" applyBorder="1" applyAlignment="1">
      <alignment horizontal="center"/>
    </xf>
    <xf numFmtId="2" fontId="43" fillId="14" borderId="21" xfId="0" applyNumberFormat="1" applyFont="1" applyFill="1" applyBorder="1" applyAlignment="1">
      <alignment horizontal="center"/>
    </xf>
    <xf numFmtId="0" fontId="41" fillId="14" borderId="21" xfId="0" applyFont="1" applyFill="1" applyBorder="1" applyAlignment="1">
      <alignment horizontal="center" vertical="center"/>
    </xf>
    <xf numFmtId="0" fontId="40" fillId="0" borderId="21" xfId="0" applyFont="1" applyBorder="1" applyAlignment="1">
      <alignment vertical="center" wrapText="1"/>
    </xf>
    <xf numFmtId="0" fontId="40" fillId="0" borderId="21" xfId="0" applyFont="1" applyBorder="1" applyAlignment="1">
      <alignment horizontal="center" vertical="center"/>
    </xf>
    <xf numFmtId="2" fontId="40" fillId="0" borderId="21" xfId="10" applyNumberFormat="1" applyFont="1" applyBorder="1" applyAlignment="1" applyProtection="1">
      <alignment horizontal="center" vertical="center"/>
      <protection locked="0"/>
    </xf>
    <xf numFmtId="2" fontId="40" fillId="0" borderId="21" xfId="0" applyNumberFormat="1" applyFont="1" applyBorder="1" applyAlignment="1">
      <alignment horizontal="center" vertical="center" wrapText="1"/>
    </xf>
    <xf numFmtId="7" fontId="40" fillId="0" borderId="21" xfId="0" applyNumberFormat="1" applyFont="1" applyFill="1" applyBorder="1" applyAlignment="1">
      <alignment horizontal="right" vertical="center"/>
    </xf>
    <xf numFmtId="0" fontId="41" fillId="0" borderId="21" xfId="0" applyFont="1" applyFill="1" applyBorder="1" applyAlignment="1">
      <alignment horizontal="center"/>
    </xf>
    <xf numFmtId="0" fontId="44" fillId="0" borderId="21" xfId="0" applyFont="1" applyFill="1" applyBorder="1" applyAlignment="1">
      <alignment horizontal="center" vertical="center"/>
    </xf>
    <xf numFmtId="2" fontId="40" fillId="0" borderId="21" xfId="0" applyNumberFormat="1" applyFont="1" applyFill="1" applyBorder="1" applyAlignment="1">
      <alignment horizontal="center"/>
    </xf>
    <xf numFmtId="7" fontId="44" fillId="0" borderId="21" xfId="0" applyNumberFormat="1" applyFont="1" applyFill="1" applyBorder="1" applyAlignment="1">
      <alignment horizontal="right" vertical="center"/>
    </xf>
    <xf numFmtId="0" fontId="40" fillId="0" borderId="21" xfId="0" applyFont="1" applyFill="1" applyBorder="1" applyAlignment="1">
      <alignment wrapText="1"/>
    </xf>
    <xf numFmtId="0" fontId="41" fillId="0" borderId="21" xfId="0" applyFont="1" applyFill="1" applyBorder="1" applyAlignment="1">
      <alignment horizontal="center" vertical="center"/>
    </xf>
    <xf numFmtId="7" fontId="41" fillId="0" borderId="21" xfId="0" applyNumberFormat="1" applyFont="1" applyFill="1" applyBorder="1" applyAlignment="1">
      <alignment vertical="center"/>
    </xf>
    <xf numFmtId="169" fontId="40" fillId="0" borderId="21" xfId="10" applyNumberFormat="1" applyFont="1" applyBorder="1" applyAlignment="1" applyProtection="1">
      <alignment horizontal="center" vertical="center"/>
      <protection locked="0"/>
    </xf>
    <xf numFmtId="2" fontId="40" fillId="0" borderId="21" xfId="0" applyNumberFormat="1" applyFont="1" applyFill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2" fontId="40" fillId="0" borderId="21" xfId="0" applyNumberFormat="1" applyFont="1" applyBorder="1" applyAlignment="1">
      <alignment horizontal="center"/>
    </xf>
    <xf numFmtId="7" fontId="44" fillId="0" borderId="21" xfId="0" applyNumberFormat="1" applyFont="1" applyBorder="1" applyAlignment="1">
      <alignment horizontal="right" vertical="center"/>
    </xf>
    <xf numFmtId="0" fontId="40" fillId="0" borderId="21" xfId="0" applyFont="1" applyFill="1" applyBorder="1" applyAlignment="1">
      <alignment vertical="center" wrapText="1"/>
    </xf>
    <xf numFmtId="0" fontId="40" fillId="0" borderId="21" xfId="0" applyFont="1" applyFill="1" applyBorder="1" applyAlignment="1">
      <alignment horizontal="center" vertical="center"/>
    </xf>
    <xf numFmtId="4" fontId="40" fillId="0" borderId="21" xfId="0" applyNumberFormat="1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170" fontId="40" fillId="0" borderId="21" xfId="10" applyNumberFormat="1" applyFont="1" applyFill="1" applyBorder="1" applyAlignment="1" applyProtection="1">
      <alignment horizontal="center" vertical="center"/>
      <protection locked="0"/>
    </xf>
    <xf numFmtId="4" fontId="40" fillId="0" borderId="21" xfId="0" applyNumberFormat="1" applyFont="1" applyBorder="1" applyAlignment="1">
      <alignment horizontal="center" vertical="center"/>
    </xf>
    <xf numFmtId="0" fontId="43" fillId="0" borderId="21" xfId="0" applyFont="1" applyBorder="1"/>
    <xf numFmtId="171" fontId="40" fillId="0" borderId="21" xfId="0" applyNumberFormat="1" applyFont="1" applyBorder="1" applyAlignment="1">
      <alignment horizontal="center" vertical="center"/>
    </xf>
    <xf numFmtId="172" fontId="40" fillId="0" borderId="21" xfId="0" applyNumberFormat="1" applyFont="1" applyBorder="1" applyAlignment="1">
      <alignment horizontal="center" vertical="center"/>
    </xf>
    <xf numFmtId="168" fontId="40" fillId="0" borderId="21" xfId="0" applyNumberFormat="1" applyFont="1" applyBorder="1" applyAlignment="1">
      <alignment horizontal="center" vertical="center"/>
    </xf>
    <xf numFmtId="0" fontId="40" fillId="0" borderId="21" xfId="0" applyFont="1" applyBorder="1"/>
    <xf numFmtId="2" fontId="40" fillId="0" borderId="21" xfId="0" applyNumberFormat="1" applyFont="1" applyFill="1" applyBorder="1" applyAlignment="1">
      <alignment horizontal="center" vertical="center" wrapText="1"/>
    </xf>
    <xf numFmtId="173" fontId="40" fillId="0" borderId="21" xfId="0" applyNumberFormat="1" applyFont="1" applyBorder="1" applyAlignment="1">
      <alignment horizontal="center" vertical="center"/>
    </xf>
    <xf numFmtId="4" fontId="44" fillId="0" borderId="21" xfId="0" applyNumberFormat="1" applyFont="1" applyBorder="1" applyAlignment="1">
      <alignment horizontal="right" vertical="center"/>
    </xf>
    <xf numFmtId="7" fontId="40" fillId="0" borderId="21" xfId="0" applyNumberFormat="1" applyFont="1" applyBorder="1" applyAlignment="1">
      <alignment horizontal="right" vertical="center"/>
    </xf>
    <xf numFmtId="0" fontId="41" fillId="14" borderId="21" xfId="0" applyFont="1" applyFill="1" applyBorder="1"/>
    <xf numFmtId="0" fontId="41" fillId="14" borderId="21" xfId="0" applyFont="1" applyFill="1" applyBorder="1" applyAlignment="1">
      <alignment horizontal="center"/>
    </xf>
    <xf numFmtId="49" fontId="41" fillId="14" borderId="21" xfId="0" applyNumberFormat="1" applyFont="1" applyFill="1" applyBorder="1" applyAlignment="1">
      <alignment horizontal="center" vertical="center"/>
    </xf>
    <xf numFmtId="0" fontId="40" fillId="0" borderId="21" xfId="0" applyFont="1" applyBorder="1" applyAlignment="1">
      <alignment wrapText="1"/>
    </xf>
    <xf numFmtId="0" fontId="41" fillId="0" borderId="21" xfId="0" applyFont="1" applyBorder="1" applyAlignment="1">
      <alignment horizontal="right" vertical="center"/>
    </xf>
    <xf numFmtId="0" fontId="40" fillId="0" borderId="21" xfId="0" applyFont="1" applyBorder="1" applyAlignment="1">
      <alignment horizontal="center"/>
    </xf>
    <xf numFmtId="7" fontId="41" fillId="0" borderId="21" xfId="0" applyNumberFormat="1" applyFont="1" applyBorder="1" applyAlignment="1">
      <alignment horizontal="right" vertical="center"/>
    </xf>
    <xf numFmtId="0" fontId="41" fillId="0" borderId="21" xfId="0" applyFont="1" applyBorder="1" applyAlignment="1">
      <alignment horizontal="center" vertical="center"/>
    </xf>
    <xf numFmtId="7" fontId="41" fillId="0" borderId="21" xfId="0" applyNumberFormat="1" applyFont="1" applyBorder="1" applyAlignment="1">
      <alignment vertical="center"/>
    </xf>
    <xf numFmtId="173" fontId="40" fillId="0" borderId="21" xfId="0" applyNumberFormat="1" applyFont="1" applyFill="1" applyBorder="1" applyAlignment="1">
      <alignment horizontal="center" vertical="center"/>
    </xf>
    <xf numFmtId="174" fontId="40" fillId="0" borderId="21" xfId="0" applyNumberFormat="1" applyFont="1" applyBorder="1" applyAlignment="1">
      <alignment horizontal="center" vertical="center"/>
    </xf>
    <xf numFmtId="0" fontId="17" fillId="0" borderId="0" xfId="1" applyFont="1" applyFill="1"/>
    <xf numFmtId="3" fontId="40" fillId="0" borderId="21" xfId="0" applyNumberFormat="1" applyFont="1" applyBorder="1" applyAlignment="1">
      <alignment horizontal="center" vertical="center"/>
    </xf>
    <xf numFmtId="176" fontId="40" fillId="0" borderId="21" xfId="10" applyNumberFormat="1" applyFont="1" applyBorder="1" applyAlignment="1" applyProtection="1">
      <alignment horizontal="center" vertical="center"/>
      <protection locked="0"/>
    </xf>
    <xf numFmtId="1" fontId="40" fillId="0" borderId="21" xfId="10" applyNumberFormat="1" applyFont="1" applyBorder="1" applyAlignment="1" applyProtection="1">
      <alignment horizontal="center" vertical="center"/>
      <protection locked="0"/>
    </xf>
    <xf numFmtId="0" fontId="40" fillId="0" borderId="21" xfId="0" applyFont="1" applyFill="1" applyBorder="1" applyAlignment="1">
      <alignment horizontal="right" vertical="center"/>
    </xf>
    <xf numFmtId="0" fontId="40" fillId="0" borderId="21" xfId="0" applyFont="1" applyFill="1" applyBorder="1" applyAlignment="1">
      <alignment horizontal="center"/>
    </xf>
    <xf numFmtId="0" fontId="40" fillId="0" borderId="21" xfId="0" applyFont="1" applyFill="1" applyBorder="1"/>
    <xf numFmtId="0" fontId="0" fillId="0" borderId="0" xfId="0" applyFont="1"/>
    <xf numFmtId="0" fontId="41" fillId="0" borderId="21" xfId="0" applyFont="1" applyFill="1" applyBorder="1" applyAlignment="1">
      <alignment horizontal="right" vertical="center"/>
    </xf>
    <xf numFmtId="4" fontId="44" fillId="0" borderId="21" xfId="0" applyNumberFormat="1" applyFont="1" applyFill="1" applyBorder="1" applyAlignment="1">
      <alignment horizontal="right" vertical="center"/>
    </xf>
    <xf numFmtId="7" fontId="41" fillId="0" borderId="21" xfId="0" applyNumberFormat="1" applyFont="1" applyFill="1" applyBorder="1" applyAlignment="1">
      <alignment horizontal="right" vertical="center"/>
    </xf>
    <xf numFmtId="0" fontId="6" fillId="0" borderId="21" xfId="1" applyFont="1" applyFill="1" applyBorder="1" applyAlignment="1">
      <alignment horizontal="center"/>
    </xf>
    <xf numFmtId="0" fontId="20" fillId="0" borderId="21" xfId="1" applyFont="1" applyFill="1" applyBorder="1" applyAlignment="1">
      <alignment horizontal="center"/>
    </xf>
    <xf numFmtId="0" fontId="6" fillId="0" borderId="21" xfId="1" applyNumberFormat="1" applyFont="1" applyFill="1" applyBorder="1" applyAlignment="1">
      <alignment horizontal="center"/>
    </xf>
    <xf numFmtId="164" fontId="6" fillId="0" borderId="21" xfId="4" applyFont="1" applyFill="1" applyBorder="1" applyAlignment="1">
      <alignment horizontal="center"/>
    </xf>
    <xf numFmtId="0" fontId="7" fillId="0" borderId="21" xfId="1" applyFont="1" applyFill="1" applyBorder="1"/>
    <xf numFmtId="0" fontId="4" fillId="0" borderId="21" xfId="1" applyFont="1" applyFill="1" applyBorder="1" applyAlignment="1">
      <alignment horizontal="center" vertical="center"/>
    </xf>
    <xf numFmtId="0" fontId="17" fillId="0" borderId="21" xfId="1" applyFont="1" applyFill="1" applyBorder="1" applyAlignment="1">
      <alignment horizontal="center" vertical="center"/>
    </xf>
    <xf numFmtId="0" fontId="4" fillId="0" borderId="21" xfId="1" applyNumberFormat="1" applyFont="1" applyFill="1" applyBorder="1" applyAlignment="1">
      <alignment horizontal="center" vertical="center"/>
    </xf>
    <xf numFmtId="164" fontId="4" fillId="0" borderId="21" xfId="4" applyFont="1" applyFill="1" applyBorder="1" applyAlignment="1">
      <alignment horizontal="center" vertical="center"/>
    </xf>
    <xf numFmtId="0" fontId="4" fillId="0" borderId="21" xfId="1" applyFont="1" applyFill="1" applyBorder="1"/>
    <xf numFmtId="0" fontId="7" fillId="0" borderId="21" xfId="1" applyFont="1" applyFill="1" applyBorder="1" applyAlignment="1">
      <alignment horizontal="center"/>
    </xf>
    <xf numFmtId="0" fontId="17" fillId="0" borderId="21" xfId="1" applyFont="1" applyFill="1" applyBorder="1" applyAlignment="1">
      <alignment horizontal="right"/>
    </xf>
    <xf numFmtId="0" fontId="4" fillId="0" borderId="21" xfId="1" applyNumberFormat="1" applyFont="1" applyFill="1" applyBorder="1" applyAlignment="1">
      <alignment horizontal="right"/>
    </xf>
    <xf numFmtId="0" fontId="7" fillId="0" borderId="21" xfId="1" applyFont="1" applyFill="1" applyBorder="1" applyAlignment="1">
      <alignment horizontal="left"/>
    </xf>
    <xf numFmtId="0" fontId="21" fillId="0" borderId="21" xfId="1" applyFont="1" applyFill="1" applyBorder="1" applyAlignment="1">
      <alignment horizontal="center"/>
    </xf>
    <xf numFmtId="0" fontId="7" fillId="0" borderId="21" xfId="1" applyNumberFormat="1" applyFont="1" applyFill="1" applyBorder="1" applyAlignment="1">
      <alignment horizontal="center"/>
    </xf>
    <xf numFmtId="164" fontId="7" fillId="0" borderId="21" xfId="4" applyFont="1" applyFill="1" applyBorder="1"/>
    <xf numFmtId="0" fontId="4" fillId="0" borderId="21" xfId="1" applyFont="1" applyFill="1" applyBorder="1" applyAlignment="1">
      <alignment horizontal="left"/>
    </xf>
    <xf numFmtId="0" fontId="41" fillId="14" borderId="21" xfId="0" applyFont="1" applyFill="1" applyBorder="1" applyAlignment="1">
      <alignment horizontal="center" wrapText="1"/>
    </xf>
    <xf numFmtId="0" fontId="41" fillId="14" borderId="21" xfId="7" applyFont="1" applyFill="1" applyBorder="1" applyAlignment="1">
      <alignment horizontal="center"/>
    </xf>
    <xf numFmtId="168" fontId="41" fillId="14" borderId="21" xfId="7" applyNumberFormat="1" applyFont="1" applyFill="1" applyBorder="1" applyAlignment="1">
      <alignment horizontal="center"/>
    </xf>
    <xf numFmtId="2" fontId="40" fillId="14" borderId="21" xfId="7" applyNumberFormat="1" applyFont="1" applyFill="1" applyBorder="1" applyAlignment="1">
      <alignment horizontal="center"/>
    </xf>
    <xf numFmtId="4" fontId="41" fillId="14" borderId="21" xfId="7" applyNumberFormat="1" applyFont="1" applyFill="1" applyBorder="1" applyAlignment="1">
      <alignment horizontal="center"/>
    </xf>
    <xf numFmtId="0" fontId="42" fillId="0" borderId="21" xfId="0" applyFont="1" applyFill="1" applyBorder="1" applyAlignment="1">
      <alignment vertical="center" wrapText="1"/>
    </xf>
    <xf numFmtId="0" fontId="42" fillId="0" borderId="21" xfId="0" applyFont="1" applyFill="1" applyBorder="1"/>
    <xf numFmtId="2" fontId="43" fillId="0" borderId="21" xfId="0" applyNumberFormat="1" applyFont="1" applyFill="1" applyBorder="1" applyAlignment="1">
      <alignment horizontal="center"/>
    </xf>
    <xf numFmtId="0" fontId="40" fillId="0" borderId="21" xfId="0" applyFont="1" applyBorder="1" applyAlignment="1">
      <alignment vertical="center"/>
    </xf>
    <xf numFmtId="0" fontId="40" fillId="0" borderId="21" xfId="0" applyFont="1" applyBorder="1" applyAlignment="1">
      <alignment horizontal="right" vertical="center"/>
    </xf>
    <xf numFmtId="1" fontId="40" fillId="0" borderId="21" xfId="0" applyNumberFormat="1" applyFont="1" applyBorder="1" applyAlignment="1">
      <alignment horizontal="right" vertical="center"/>
    </xf>
    <xf numFmtId="4" fontId="41" fillId="0" borderId="21" xfId="0" applyNumberFormat="1" applyFont="1" applyFill="1" applyBorder="1" applyAlignment="1">
      <alignment horizontal="right" vertical="center"/>
    </xf>
    <xf numFmtId="0" fontId="5" fillId="0" borderId="21" xfId="7" applyFont="1" applyBorder="1" applyAlignment="1">
      <alignment vertical="center"/>
    </xf>
    <xf numFmtId="1" fontId="40" fillId="0" borderId="21" xfId="10" applyNumberFormat="1" applyFont="1" applyBorder="1" applyAlignment="1" applyProtection="1">
      <alignment horizontal="right" vertical="top"/>
      <protection locked="0"/>
    </xf>
    <xf numFmtId="2" fontId="40" fillId="14" borderId="21" xfId="0" applyNumberFormat="1" applyFont="1" applyFill="1" applyBorder="1" applyAlignment="1">
      <alignment horizontal="center"/>
    </xf>
    <xf numFmtId="4" fontId="41" fillId="0" borderId="21" xfId="0" applyNumberFormat="1" applyFont="1" applyBorder="1" applyAlignment="1">
      <alignment horizontal="right" vertical="center"/>
    </xf>
    <xf numFmtId="0" fontId="41" fillId="0" borderId="21" xfId="0" applyFont="1" applyFill="1" applyBorder="1" applyAlignment="1">
      <alignment vertical="center" wrapText="1"/>
    </xf>
    <xf numFmtId="0" fontId="43" fillId="0" borderId="21" xfId="0" applyFont="1" applyBorder="1" applyAlignment="1">
      <alignment wrapText="1"/>
    </xf>
    <xf numFmtId="0" fontId="40" fillId="0" borderId="21" xfId="0" applyFont="1" applyBorder="1" applyAlignment="1">
      <alignment horizontal="left" vertical="center" wrapText="1"/>
    </xf>
    <xf numFmtId="0" fontId="5" fillId="2" borderId="21" xfId="7" applyFont="1" applyFill="1" applyBorder="1" applyAlignment="1">
      <alignment vertical="center"/>
    </xf>
    <xf numFmtId="175" fontId="40" fillId="0" borderId="21" xfId="0" applyNumberFormat="1" applyFont="1" applyBorder="1" applyAlignment="1">
      <alignment vertical="center"/>
    </xf>
    <xf numFmtId="0" fontId="13" fillId="0" borderId="21" xfId="7" applyFont="1" applyFill="1" applyBorder="1" applyAlignment="1">
      <alignment vertical="center"/>
    </xf>
    <xf numFmtId="0" fontId="8" fillId="0" borderId="21" xfId="7" applyFont="1" applyFill="1" applyBorder="1" applyAlignment="1">
      <alignment vertical="center"/>
    </xf>
    <xf numFmtId="0" fontId="18" fillId="0" borderId="21" xfId="7" applyFont="1" applyFill="1" applyBorder="1" applyAlignment="1">
      <alignment horizontal="center" vertical="center"/>
    </xf>
    <xf numFmtId="165" fontId="18" fillId="0" borderId="21" xfId="9" applyFont="1" applyFill="1" applyBorder="1" applyAlignment="1">
      <alignment vertical="center"/>
    </xf>
    <xf numFmtId="0" fontId="18" fillId="0" borderId="21" xfId="9" applyNumberFormat="1" applyFont="1" applyFill="1" applyBorder="1" applyAlignment="1">
      <alignment vertical="center"/>
    </xf>
    <xf numFmtId="164" fontId="13" fillId="0" borderId="21" xfId="4" applyFont="1" applyFill="1" applyBorder="1" applyAlignment="1">
      <alignment horizontal="right" vertical="center"/>
    </xf>
    <xf numFmtId="0" fontId="13" fillId="0" borderId="21" xfId="7" applyFont="1" applyFill="1" applyBorder="1" applyAlignment="1">
      <alignment horizontal="center" vertical="center"/>
    </xf>
    <xf numFmtId="165" fontId="13" fillId="0" borderId="21" xfId="9" applyFont="1" applyFill="1" applyBorder="1" applyAlignment="1">
      <alignment vertical="center"/>
    </xf>
    <xf numFmtId="0" fontId="13" fillId="0" borderId="21" xfId="9" applyNumberFormat="1" applyFont="1" applyFill="1" applyBorder="1" applyAlignment="1">
      <alignment vertical="center"/>
    </xf>
    <xf numFmtId="0" fontId="13" fillId="0" borderId="21" xfId="7" applyFont="1" applyFill="1" applyBorder="1" applyAlignment="1">
      <alignment vertical="top"/>
    </xf>
    <xf numFmtId="164" fontId="13" fillId="0" borderId="21" xfId="4" applyFont="1" applyFill="1" applyBorder="1" applyAlignment="1">
      <alignment vertical="top"/>
    </xf>
    <xf numFmtId="0" fontId="15" fillId="0" borderId="21" xfId="7" applyFont="1" applyFill="1" applyBorder="1" applyAlignment="1">
      <alignment vertical="top"/>
    </xf>
    <xf numFmtId="0" fontId="8" fillId="0" borderId="21" xfId="7" applyFont="1" applyFill="1" applyBorder="1" applyAlignment="1">
      <alignment vertical="top"/>
    </xf>
    <xf numFmtId="0" fontId="15" fillId="2" borderId="21" xfId="7" applyFont="1" applyFill="1" applyBorder="1" applyAlignment="1">
      <alignment vertical="top"/>
    </xf>
    <xf numFmtId="0" fontId="23" fillId="2" borderId="21" xfId="7" applyFont="1" applyFill="1" applyBorder="1" applyAlignment="1">
      <alignment vertical="top"/>
    </xf>
    <xf numFmtId="0" fontId="23" fillId="2" borderId="21" xfId="7" applyNumberFormat="1" applyFont="1" applyFill="1" applyBorder="1" applyAlignment="1">
      <alignment vertical="top"/>
    </xf>
    <xf numFmtId="164" fontId="15" fillId="2" borderId="21" xfId="4" applyFont="1" applyFill="1" applyBorder="1" applyAlignment="1">
      <alignment vertical="top"/>
    </xf>
    <xf numFmtId="0" fontId="0" fillId="0" borderId="0" xfId="0" applyFont="1" applyBorder="1"/>
    <xf numFmtId="0" fontId="34" fillId="0" borderId="52" xfId="0" applyFont="1" applyFill="1" applyBorder="1" applyAlignment="1">
      <alignment horizontal="center" wrapText="1"/>
    </xf>
    <xf numFmtId="2" fontId="0" fillId="0" borderId="41" xfId="0" applyNumberFormat="1" applyFont="1" applyFill="1" applyBorder="1" applyAlignment="1">
      <alignment horizontal="center"/>
    </xf>
    <xf numFmtId="2" fontId="0" fillId="0" borderId="40" xfId="0" applyNumberFormat="1" applyFont="1" applyFill="1" applyBorder="1" applyAlignment="1">
      <alignment horizontal="center"/>
    </xf>
    <xf numFmtId="2" fontId="0" fillId="0" borderId="42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4" fillId="0" borderId="0" xfId="1" applyFont="1" applyFill="1" applyAlignment="1">
      <alignment horizontal="center" vertical="center"/>
    </xf>
    <xf numFmtId="2" fontId="5" fillId="0" borderId="40" xfId="5" applyNumberFormat="1" applyFont="1" applyFill="1" applyBorder="1" applyAlignment="1">
      <alignment horizontal="center" vertical="center"/>
    </xf>
    <xf numFmtId="0" fontId="40" fillId="0" borderId="21" xfId="0" applyFont="1" applyBorder="1" applyAlignment="1">
      <alignment horizontal="center"/>
    </xf>
    <xf numFmtId="0" fontId="4" fillId="0" borderId="0" xfId="1" applyFont="1" applyFill="1" applyAlignment="1">
      <alignment horizontal="left" vertical="center"/>
    </xf>
    <xf numFmtId="0" fontId="5" fillId="0" borderId="12" xfId="1" applyFont="1" applyFill="1" applyBorder="1" applyAlignment="1">
      <alignment horizontal="justify" vertical="center"/>
    </xf>
    <xf numFmtId="2" fontId="5" fillId="0" borderId="40" xfId="7" applyNumberFormat="1" applyFont="1" applyFill="1" applyBorder="1" applyAlignment="1">
      <alignment horizontal="center" vertical="center" wrapText="1"/>
    </xf>
    <xf numFmtId="0" fontId="5" fillId="0" borderId="40" xfId="7" applyFont="1" applyFill="1" applyBorder="1" applyAlignment="1">
      <alignment horizontal="justify" vertical="center" wrapText="1"/>
    </xf>
    <xf numFmtId="0" fontId="13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justify" vertical="center" wrapText="1"/>
    </xf>
    <xf numFmtId="0" fontId="13" fillId="0" borderId="8" xfId="3" applyNumberFormat="1" applyFont="1" applyFill="1" applyBorder="1" applyAlignment="1">
      <alignment horizontal="center" vertical="center"/>
    </xf>
    <xf numFmtId="164" fontId="13" fillId="0" borderId="1" xfId="4" applyFont="1" applyFill="1" applyBorder="1" applyAlignment="1">
      <alignment horizontal="right" vertical="center"/>
    </xf>
    <xf numFmtId="164" fontId="13" fillId="0" borderId="8" xfId="4" applyFont="1" applyFill="1" applyBorder="1" applyAlignment="1">
      <alignment vertical="center"/>
    </xf>
    <xf numFmtId="165" fontId="13" fillId="0" borderId="1" xfId="3" applyFont="1" applyFill="1" applyBorder="1" applyAlignment="1">
      <alignment vertical="center"/>
    </xf>
    <xf numFmtId="0" fontId="13" fillId="0" borderId="1" xfId="3" applyNumberFormat="1" applyFont="1" applyFill="1" applyBorder="1" applyAlignment="1">
      <alignment horizontal="center" vertical="center"/>
    </xf>
    <xf numFmtId="164" fontId="13" fillId="0" borderId="1" xfId="4" applyFont="1" applyFill="1" applyBorder="1" applyAlignment="1">
      <alignment vertical="center"/>
    </xf>
    <xf numFmtId="0" fontId="13" fillId="0" borderId="1" xfId="1" applyFont="1" applyFill="1" applyBorder="1" applyAlignment="1">
      <alignment horizontal="center" vertical="center" wrapText="1"/>
    </xf>
    <xf numFmtId="165" fontId="13" fillId="0" borderId="4" xfId="5" applyFont="1" applyFill="1" applyBorder="1" applyAlignment="1">
      <alignment horizontal="center" vertical="center" wrapText="1"/>
    </xf>
    <xf numFmtId="165" fontId="13" fillId="0" borderId="1" xfId="5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justify" vertical="center" wrapText="1"/>
    </xf>
    <xf numFmtId="0" fontId="13" fillId="0" borderId="1" xfId="1" applyFont="1" applyBorder="1" applyAlignment="1">
      <alignment horizontal="center" vertical="center"/>
    </xf>
    <xf numFmtId="165" fontId="13" fillId="0" borderId="1" xfId="5" applyFont="1" applyBorder="1" applyAlignment="1">
      <alignment horizontal="center" vertical="center"/>
    </xf>
    <xf numFmtId="165" fontId="13" fillId="0" borderId="8" xfId="5" applyFont="1" applyFill="1" applyBorder="1" applyAlignment="1">
      <alignment horizontal="center" vertical="center" wrapText="1"/>
    </xf>
    <xf numFmtId="165" fontId="13" fillId="0" borderId="4" xfId="5" applyFont="1" applyBorder="1" applyAlignment="1">
      <alignment horizontal="center" vertical="center"/>
    </xf>
    <xf numFmtId="165" fontId="13" fillId="0" borderId="1" xfId="5" applyFont="1" applyFill="1" applyBorder="1" applyAlignment="1">
      <alignment vertical="center"/>
    </xf>
    <xf numFmtId="2" fontId="43" fillId="0" borderId="21" xfId="0" applyNumberFormat="1" applyFont="1" applyBorder="1" applyAlignment="1">
      <alignment horizontal="center" vertical="center" wrapText="1"/>
    </xf>
    <xf numFmtId="7" fontId="43" fillId="0" borderId="21" xfId="0" applyNumberFormat="1" applyFont="1" applyFill="1" applyBorder="1" applyAlignment="1">
      <alignment horizontal="right" vertical="center"/>
    </xf>
    <xf numFmtId="170" fontId="40" fillId="0" borderId="21" xfId="10" applyNumberFormat="1" applyFont="1" applyBorder="1" applyAlignment="1" applyProtection="1">
      <alignment horizontal="center" vertical="center"/>
      <protection locked="0"/>
    </xf>
    <xf numFmtId="0" fontId="47" fillId="0" borderId="21" xfId="0" applyFont="1" applyBorder="1"/>
    <xf numFmtId="0" fontId="47" fillId="0" borderId="21" xfId="0" applyFont="1" applyBorder="1" applyAlignment="1">
      <alignment vertical="center" wrapText="1"/>
    </xf>
    <xf numFmtId="0" fontId="47" fillId="0" borderId="21" xfId="0" applyFont="1" applyBorder="1" applyAlignment="1">
      <alignment horizontal="center" vertical="center"/>
    </xf>
    <xf numFmtId="4" fontId="47" fillId="0" borderId="21" xfId="0" applyNumberFormat="1" applyFont="1" applyBorder="1" applyAlignment="1">
      <alignment horizontal="center" vertical="center"/>
    </xf>
    <xf numFmtId="7" fontId="47" fillId="0" borderId="21" xfId="0" applyNumberFormat="1" applyFont="1" applyBorder="1" applyAlignment="1">
      <alignment horizontal="right" vertical="center"/>
    </xf>
    <xf numFmtId="168" fontId="41" fillId="0" borderId="21" xfId="0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/>
    </xf>
    <xf numFmtId="0" fontId="15" fillId="0" borderId="0" xfId="1" applyFont="1" applyFill="1" applyAlignment="1">
      <alignment horizontal="center" vertical="top"/>
    </xf>
    <xf numFmtId="0" fontId="0" fillId="0" borderId="0" xfId="0" applyFill="1" applyAlignment="1">
      <alignment horizontal="center" vertical="center" wrapText="1"/>
    </xf>
    <xf numFmtId="0" fontId="13" fillId="0" borderId="0" xfId="1" applyFont="1" applyFill="1" applyAlignment="1">
      <alignment horizontal="left" vertical="center"/>
    </xf>
    <xf numFmtId="166" fontId="13" fillId="0" borderId="0" xfId="1" applyNumberFormat="1" applyFont="1" applyFill="1" applyAlignment="1">
      <alignment horizontal="center" vertical="center"/>
    </xf>
    <xf numFmtId="0" fontId="10" fillId="0" borderId="54" xfId="1" applyFont="1" applyFill="1" applyBorder="1" applyAlignment="1">
      <alignment horizontal="left" vertical="center" wrapText="1"/>
    </xf>
    <xf numFmtId="0" fontId="10" fillId="0" borderId="51" xfId="1" applyFont="1" applyFill="1" applyBorder="1" applyAlignment="1">
      <alignment horizontal="left" vertical="center" wrapText="1"/>
    </xf>
    <xf numFmtId="0" fontId="10" fillId="0" borderId="55" xfId="1" applyFont="1" applyFill="1" applyBorder="1" applyAlignment="1">
      <alignment horizontal="left" vertical="center" wrapText="1"/>
    </xf>
    <xf numFmtId="0" fontId="10" fillId="0" borderId="12" xfId="1" applyFont="1" applyFill="1" applyBorder="1" applyAlignment="1">
      <alignment horizontal="left" vertical="center" wrapText="1"/>
    </xf>
    <xf numFmtId="0" fontId="8" fillId="0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15" fillId="2" borderId="0" xfId="1" applyFont="1" applyFill="1" applyAlignment="1">
      <alignment horizontal="center" vertical="top"/>
    </xf>
    <xf numFmtId="0" fontId="13" fillId="0" borderId="0" xfId="1" applyFont="1" applyFill="1" applyAlignment="1">
      <alignment horizontal="center" vertical="top" wrapText="1"/>
    </xf>
    <xf numFmtId="0" fontId="7" fillId="2" borderId="0" xfId="1" applyFont="1" applyFill="1" applyAlignment="1">
      <alignment horizontal="left"/>
    </xf>
    <xf numFmtId="165" fontId="27" fillId="0" borderId="40" xfId="17" applyNumberFormat="1" applyFont="1" applyBorder="1" applyAlignment="1">
      <alignment horizontal="left" vertical="center" wrapText="1"/>
    </xf>
    <xf numFmtId="0" fontId="26" fillId="0" borderId="16" xfId="7" applyFont="1" applyBorder="1" applyAlignment="1">
      <alignment horizontal="center"/>
    </xf>
    <xf numFmtId="0" fontId="26" fillId="0" borderId="18" xfId="7" applyFont="1" applyBorder="1" applyAlignment="1">
      <alignment horizontal="center"/>
    </xf>
    <xf numFmtId="0" fontId="26" fillId="0" borderId="13" xfId="7" applyFont="1" applyBorder="1" applyAlignment="1">
      <alignment horizontal="center"/>
    </xf>
    <xf numFmtId="0" fontId="26" fillId="0" borderId="15" xfId="7" applyFont="1" applyBorder="1" applyAlignment="1">
      <alignment horizontal="center"/>
    </xf>
    <xf numFmtId="0" fontId="33" fillId="0" borderId="16" xfId="7" applyFont="1" applyBorder="1" applyAlignment="1">
      <alignment horizontal="center" vertical="center"/>
    </xf>
    <xf numFmtId="0" fontId="33" fillId="0" borderId="17" xfId="7" applyFont="1" applyBorder="1" applyAlignment="1">
      <alignment horizontal="center" vertical="center"/>
    </xf>
    <xf numFmtId="0" fontId="33" fillId="0" borderId="18" xfId="7" applyFont="1" applyBorder="1" applyAlignment="1">
      <alignment horizontal="center" vertical="center"/>
    </xf>
    <xf numFmtId="0" fontId="33" fillId="0" borderId="13" xfId="7" applyFont="1" applyBorder="1" applyAlignment="1">
      <alignment horizontal="center" vertical="center"/>
    </xf>
    <xf numFmtId="0" fontId="33" fillId="0" borderId="14" xfId="7" applyFont="1" applyBorder="1" applyAlignment="1">
      <alignment horizontal="center" vertical="center"/>
    </xf>
    <xf numFmtId="0" fontId="33" fillId="0" borderId="15" xfId="7" applyFont="1" applyBorder="1" applyAlignment="1">
      <alignment horizontal="center" vertical="center"/>
    </xf>
    <xf numFmtId="0" fontId="26" fillId="0" borderId="23" xfId="7" applyFont="1" applyBorder="1" applyAlignment="1">
      <alignment horizontal="center"/>
    </xf>
    <xf numFmtId="0" fontId="26" fillId="0" borderId="24" xfId="7" applyFont="1" applyBorder="1" applyAlignment="1">
      <alignment horizontal="center"/>
    </xf>
    <xf numFmtId="0" fontId="26" fillId="0" borderId="25" xfId="7" applyFont="1" applyBorder="1" applyAlignment="1">
      <alignment horizontal="center" vertical="center"/>
    </xf>
    <xf numFmtId="0" fontId="26" fillId="0" borderId="21" xfId="7" applyFont="1" applyBorder="1" applyAlignment="1">
      <alignment horizontal="center" vertical="center"/>
    </xf>
    <xf numFmtId="0" fontId="26" fillId="0" borderId="26" xfId="7" applyFont="1" applyBorder="1" applyAlignment="1">
      <alignment horizontal="center" vertical="center"/>
    </xf>
    <xf numFmtId="0" fontId="26" fillId="0" borderId="27" xfId="7" applyFont="1" applyBorder="1" applyAlignment="1">
      <alignment horizontal="center" vertical="center"/>
    </xf>
    <xf numFmtId="0" fontId="26" fillId="0" borderId="28" xfId="7" applyFont="1" applyBorder="1" applyAlignment="1">
      <alignment horizontal="center" vertical="center"/>
    </xf>
    <xf numFmtId="0" fontId="26" fillId="0" borderId="29" xfId="7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9" fillId="2" borderId="16" xfId="12" applyFont="1" applyFill="1" applyBorder="1" applyAlignment="1">
      <alignment horizontal="left" vertical="center"/>
    </xf>
    <xf numFmtId="0" fontId="29" fillId="2" borderId="17" xfId="12" applyFont="1" applyFill="1" applyBorder="1" applyAlignment="1">
      <alignment horizontal="left" vertical="center"/>
    </xf>
    <xf numFmtId="0" fontId="29" fillId="2" borderId="18" xfId="12" applyFont="1" applyFill="1" applyBorder="1" applyAlignment="1">
      <alignment horizontal="left" vertical="center"/>
    </xf>
    <xf numFmtId="49" fontId="30" fillId="0" borderId="13" xfId="11" applyNumberFormat="1" applyFont="1" applyFill="1" applyBorder="1" applyAlignment="1">
      <alignment horizontal="left" vertical="center" wrapText="1"/>
    </xf>
    <xf numFmtId="49" fontId="30" fillId="0" borderId="14" xfId="11" applyNumberFormat="1" applyFont="1" applyFill="1" applyBorder="1" applyAlignment="1">
      <alignment horizontal="left" vertical="center" wrapText="1"/>
    </xf>
    <xf numFmtId="49" fontId="30" fillId="0" borderId="15" xfId="11" applyNumberFormat="1" applyFont="1" applyFill="1" applyBorder="1" applyAlignment="1">
      <alignment horizontal="left" vertical="center" wrapText="1"/>
    </xf>
    <xf numFmtId="165" fontId="27" fillId="9" borderId="41" xfId="14" applyNumberFormat="1" applyFont="1" applyFill="1" applyBorder="1" applyAlignment="1">
      <alignment horizontal="center" vertical="center"/>
    </xf>
    <xf numFmtId="0" fontId="32" fillId="9" borderId="36" xfId="18" applyFont="1" applyFill="1" applyBorder="1" applyAlignment="1">
      <alignment horizontal="left" vertical="top" wrapText="1"/>
    </xf>
    <xf numFmtId="0" fontId="32" fillId="9" borderId="0" xfId="18" applyFont="1" applyFill="1" applyBorder="1" applyAlignment="1">
      <alignment horizontal="left" vertical="top" wrapText="1"/>
    </xf>
    <xf numFmtId="0" fontId="32" fillId="9" borderId="37" xfId="18" applyFont="1" applyFill="1" applyBorder="1" applyAlignment="1">
      <alignment horizontal="left" vertical="top" wrapText="1"/>
    </xf>
    <xf numFmtId="165" fontId="29" fillId="0" borderId="40" xfId="17" applyNumberFormat="1" applyFont="1" applyBorder="1" applyAlignment="1">
      <alignment horizontal="left" vertical="center" wrapText="1"/>
    </xf>
    <xf numFmtId="165" fontId="29" fillId="0" borderId="42" xfId="17" applyNumberFormat="1" applyFont="1" applyBorder="1" applyAlignment="1">
      <alignment horizontal="left" vertical="center" wrapText="1"/>
    </xf>
    <xf numFmtId="165" fontId="27" fillId="10" borderId="44" xfId="14" applyNumberFormat="1" applyFont="1" applyFill="1" applyBorder="1" applyAlignment="1">
      <alignment horizontal="right" vertical="center" wrapText="1"/>
    </xf>
    <xf numFmtId="0" fontId="32" fillId="9" borderId="19" xfId="18" applyFont="1" applyFill="1" applyBorder="1" applyAlignment="1">
      <alignment horizontal="left" vertical="center" wrapText="1"/>
    </xf>
    <xf numFmtId="0" fontId="32" fillId="9" borderId="0" xfId="18" applyFont="1" applyFill="1" applyBorder="1" applyAlignment="1">
      <alignment horizontal="left" vertical="center" wrapText="1"/>
    </xf>
    <xf numFmtId="0" fontId="32" fillId="9" borderId="20" xfId="18" applyFont="1" applyFill="1" applyBorder="1" applyAlignment="1">
      <alignment horizontal="left" vertical="center" wrapText="1"/>
    </xf>
    <xf numFmtId="0" fontId="32" fillId="9" borderId="13" xfId="18" applyFont="1" applyFill="1" applyBorder="1" applyAlignment="1">
      <alignment horizontal="left" vertical="center" wrapText="1"/>
    </xf>
    <xf numFmtId="0" fontId="32" fillId="9" borderId="14" xfId="18" applyFont="1" applyFill="1" applyBorder="1" applyAlignment="1">
      <alignment horizontal="left" vertical="center" wrapText="1"/>
    </xf>
    <xf numFmtId="0" fontId="32" fillId="9" borderId="15" xfId="18" applyFont="1" applyFill="1" applyBorder="1" applyAlignment="1">
      <alignment horizontal="left" vertical="center" wrapText="1"/>
    </xf>
    <xf numFmtId="0" fontId="32" fillId="9" borderId="36" xfId="18" applyFont="1" applyFill="1" applyBorder="1" applyAlignment="1">
      <alignment horizontal="left" vertical="center" wrapText="1"/>
    </xf>
    <xf numFmtId="0" fontId="32" fillId="9" borderId="37" xfId="18" applyFont="1" applyFill="1" applyBorder="1" applyAlignment="1">
      <alignment horizontal="left" vertical="center" wrapText="1"/>
    </xf>
    <xf numFmtId="0" fontId="2" fillId="0" borderId="58" xfId="7" applyBorder="1" applyAlignment="1">
      <alignment horizontal="center" wrapText="1"/>
    </xf>
    <xf numFmtId="0" fontId="2" fillId="0" borderId="59" xfId="7" applyBorder="1" applyAlignment="1">
      <alignment horizontal="center" wrapText="1"/>
    </xf>
    <xf numFmtId="0" fontId="2" fillId="0" borderId="60" xfId="7" applyBorder="1" applyAlignment="1">
      <alignment horizontal="center" wrapText="1"/>
    </xf>
    <xf numFmtId="0" fontId="2" fillId="0" borderId="61" xfId="7" applyBorder="1" applyAlignment="1">
      <alignment horizontal="center" wrapText="1"/>
    </xf>
    <xf numFmtId="0" fontId="2" fillId="0" borderId="62" xfId="7" applyBorder="1" applyAlignment="1">
      <alignment horizontal="center" wrapText="1"/>
    </xf>
    <xf numFmtId="0" fontId="2" fillId="0" borderId="63" xfId="7" applyBorder="1" applyAlignment="1">
      <alignment horizontal="center" wrapText="1"/>
    </xf>
    <xf numFmtId="0" fontId="32" fillId="9" borderId="0" xfId="18" applyFont="1" applyFill="1" applyBorder="1" applyAlignment="1">
      <alignment horizontal="center" vertical="center" wrapText="1"/>
    </xf>
    <xf numFmtId="0" fontId="32" fillId="9" borderId="62" xfId="18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34" fillId="0" borderId="43" xfId="19" applyFont="1" applyFill="1" applyBorder="1" applyAlignment="1">
      <alignment horizontal="center"/>
    </xf>
    <xf numFmtId="0" fontId="34" fillId="0" borderId="44" xfId="19" applyFont="1" applyFill="1" applyBorder="1" applyAlignment="1">
      <alignment horizontal="center"/>
    </xf>
    <xf numFmtId="0" fontId="34" fillId="0" borderId="45" xfId="19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35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35" fillId="0" borderId="45" xfId="0" applyFont="1" applyFill="1" applyBorder="1" applyAlignment="1">
      <alignment horizontal="center"/>
    </xf>
    <xf numFmtId="0" fontId="41" fillId="0" borderId="21" xfId="7" applyFont="1" applyBorder="1" applyAlignment="1">
      <alignment horizontal="center"/>
    </xf>
    <xf numFmtId="0" fontId="13" fillId="0" borderId="21" xfId="7" applyFont="1" applyFill="1" applyBorder="1" applyAlignment="1">
      <alignment horizontal="center" vertical="top" wrapText="1"/>
    </xf>
    <xf numFmtId="0" fontId="40" fillId="0" borderId="21" xfId="0" applyFont="1" applyBorder="1" applyAlignment="1">
      <alignment horizontal="center"/>
    </xf>
  </cellXfs>
  <cellStyles count="20">
    <cellStyle name="Moeda" xfId="4" builtinId="4"/>
    <cellStyle name="Normal" xfId="0" builtinId="0"/>
    <cellStyle name="Normal 2" xfId="1"/>
    <cellStyle name="Normal 2 2" xfId="7"/>
    <cellStyle name="Normal 3 2" xfId="18"/>
    <cellStyle name="Normal 5" xfId="10"/>
    <cellStyle name="Normal 6" xfId="16"/>
    <cellStyle name="Normal 9" xfId="13"/>
    <cellStyle name="Normal_capa" xfId="12"/>
    <cellStyle name="Normal_CPU_06_400_91_00750_00_SEE_parte02 2" xfId="11"/>
    <cellStyle name="Normal_orc.rede.esgoto" xfId="19"/>
    <cellStyle name="Porcentagem" xfId="6" builtinId="5"/>
    <cellStyle name="Porcentagem 2" xfId="2"/>
    <cellStyle name="Porcentagem 2 2" xfId="8"/>
    <cellStyle name="Porcentagem 5" xfId="15"/>
    <cellStyle name="Separador de milhares" xfId="5" builtinId="3"/>
    <cellStyle name="Separador de milhares 2 3" xfId="17"/>
    <cellStyle name="Separador de milhares 6" xfId="14"/>
    <cellStyle name="Vírgula 2" xfId="3"/>
    <cellStyle name="Vírgula 2 2" xfId="9"/>
  </cellStyles>
  <dxfs count="0"/>
  <tableStyles count="0" defaultTableStyle="TableStyleMedium2" defaultPivotStyle="PivotStyleLight16"/>
  <colors>
    <mruColors>
      <color rgb="FFFF3300"/>
      <color rgb="FFFF505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2409825</xdr:colOff>
      <xdr:row>95</xdr:row>
      <xdr:rowOff>0</xdr:rowOff>
    </xdr:from>
    <xdr:to>
      <xdr:col>1</xdr:col>
      <xdr:colOff>2486025</xdr:colOff>
      <xdr:row>96</xdr:row>
      <xdr:rowOff>4970</xdr:rowOff>
    </xdr:to>
    <xdr:sp macro="" textlink="">
      <xdr:nvSpPr>
        <xdr:cNvPr id="2" name="Text Box 245"/>
        <xdr:cNvSpPr txBox="1">
          <a:spLocks noChangeArrowheads="1"/>
        </xdr:cNvSpPr>
      </xdr:nvSpPr>
      <xdr:spPr bwMode="auto">
        <a:xfrm>
          <a:off x="2783205" y="13182600"/>
          <a:ext cx="76200" cy="206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2409825</xdr:colOff>
      <xdr:row>95</xdr:row>
      <xdr:rowOff>0</xdr:rowOff>
    </xdr:from>
    <xdr:to>
      <xdr:col>1</xdr:col>
      <xdr:colOff>2486025</xdr:colOff>
      <xdr:row>96</xdr:row>
      <xdr:rowOff>4970</xdr:rowOff>
    </xdr:to>
    <xdr:sp macro="" textlink="">
      <xdr:nvSpPr>
        <xdr:cNvPr id="3" name="Text Box 245"/>
        <xdr:cNvSpPr txBox="1">
          <a:spLocks noChangeArrowheads="1"/>
        </xdr:cNvSpPr>
      </xdr:nvSpPr>
      <xdr:spPr bwMode="auto">
        <a:xfrm>
          <a:off x="2771775" y="13220700"/>
          <a:ext cx="76200" cy="204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209136</xdr:colOff>
      <xdr:row>96</xdr:row>
      <xdr:rowOff>4972</xdr:rowOff>
    </xdr:to>
    <xdr:sp macro="" textlink="">
      <xdr:nvSpPr>
        <xdr:cNvPr id="4" name="Text Box 245"/>
        <xdr:cNvSpPr txBox="1">
          <a:spLocks noChangeArrowheads="1"/>
        </xdr:cNvSpPr>
      </xdr:nvSpPr>
      <xdr:spPr bwMode="auto">
        <a:xfrm>
          <a:off x="2771775" y="15944850"/>
          <a:ext cx="76200" cy="204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209136</xdr:colOff>
      <xdr:row>96</xdr:row>
      <xdr:rowOff>4972</xdr:rowOff>
    </xdr:to>
    <xdr:sp macro="" textlink="">
      <xdr:nvSpPr>
        <xdr:cNvPr id="5" name="Text Box 245"/>
        <xdr:cNvSpPr txBox="1">
          <a:spLocks noChangeArrowheads="1"/>
        </xdr:cNvSpPr>
      </xdr:nvSpPr>
      <xdr:spPr bwMode="auto">
        <a:xfrm>
          <a:off x="2771775" y="15944850"/>
          <a:ext cx="76200" cy="204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2409825</xdr:colOff>
      <xdr:row>95</xdr:row>
      <xdr:rowOff>0</xdr:rowOff>
    </xdr:from>
    <xdr:to>
      <xdr:col>1</xdr:col>
      <xdr:colOff>2486025</xdr:colOff>
      <xdr:row>96</xdr:row>
      <xdr:rowOff>14494</xdr:rowOff>
    </xdr:to>
    <xdr:sp macro="" textlink="">
      <xdr:nvSpPr>
        <xdr:cNvPr id="6" name="Text Box 245"/>
        <xdr:cNvSpPr txBox="1">
          <a:spLocks noChangeArrowheads="1"/>
        </xdr:cNvSpPr>
      </xdr:nvSpPr>
      <xdr:spPr bwMode="auto">
        <a:xfrm>
          <a:off x="2771775" y="18726150"/>
          <a:ext cx="76200" cy="214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2409825</xdr:colOff>
      <xdr:row>95</xdr:row>
      <xdr:rowOff>0</xdr:rowOff>
    </xdr:from>
    <xdr:to>
      <xdr:col>1</xdr:col>
      <xdr:colOff>2486025</xdr:colOff>
      <xdr:row>96</xdr:row>
      <xdr:rowOff>14494</xdr:rowOff>
    </xdr:to>
    <xdr:sp macro="" textlink="">
      <xdr:nvSpPr>
        <xdr:cNvPr id="7" name="Text Box 245"/>
        <xdr:cNvSpPr txBox="1">
          <a:spLocks noChangeArrowheads="1"/>
        </xdr:cNvSpPr>
      </xdr:nvSpPr>
      <xdr:spPr bwMode="auto">
        <a:xfrm>
          <a:off x="2771775" y="18726150"/>
          <a:ext cx="76200" cy="214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2409825</xdr:colOff>
      <xdr:row>94</xdr:row>
      <xdr:rowOff>0</xdr:rowOff>
    </xdr:from>
    <xdr:to>
      <xdr:col>1</xdr:col>
      <xdr:colOff>2486025</xdr:colOff>
      <xdr:row>95</xdr:row>
      <xdr:rowOff>4971</xdr:rowOff>
    </xdr:to>
    <xdr:sp macro="" textlink="">
      <xdr:nvSpPr>
        <xdr:cNvPr id="2" name="Text Box 245"/>
        <xdr:cNvSpPr txBox="1">
          <a:spLocks noChangeArrowheads="1"/>
        </xdr:cNvSpPr>
      </xdr:nvSpPr>
      <xdr:spPr bwMode="auto">
        <a:xfrm>
          <a:off x="2724150" y="13877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2409825</xdr:colOff>
      <xdr:row>96</xdr:row>
      <xdr:rowOff>0</xdr:rowOff>
    </xdr:from>
    <xdr:to>
      <xdr:col>1</xdr:col>
      <xdr:colOff>2486025</xdr:colOff>
      <xdr:row>97</xdr:row>
      <xdr:rowOff>62119</xdr:rowOff>
    </xdr:to>
    <xdr:sp macro="" textlink="">
      <xdr:nvSpPr>
        <xdr:cNvPr id="3" name="Text Box 245"/>
        <xdr:cNvSpPr txBox="1">
          <a:spLocks noChangeArrowheads="1"/>
        </xdr:cNvSpPr>
      </xdr:nvSpPr>
      <xdr:spPr bwMode="auto">
        <a:xfrm>
          <a:off x="2771775" y="15640050"/>
          <a:ext cx="76200" cy="204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2409825</xdr:colOff>
      <xdr:row>96</xdr:row>
      <xdr:rowOff>0</xdr:rowOff>
    </xdr:from>
    <xdr:to>
      <xdr:col>1</xdr:col>
      <xdr:colOff>2486025</xdr:colOff>
      <xdr:row>97</xdr:row>
      <xdr:rowOff>62119</xdr:rowOff>
    </xdr:to>
    <xdr:sp macro="" textlink="">
      <xdr:nvSpPr>
        <xdr:cNvPr id="4" name="Text Box 245"/>
        <xdr:cNvSpPr txBox="1">
          <a:spLocks noChangeArrowheads="1"/>
        </xdr:cNvSpPr>
      </xdr:nvSpPr>
      <xdr:spPr bwMode="auto">
        <a:xfrm>
          <a:off x="2771775" y="15640050"/>
          <a:ext cx="76200" cy="204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2409825</xdr:colOff>
      <xdr:row>43</xdr:row>
      <xdr:rowOff>0</xdr:rowOff>
    </xdr:from>
    <xdr:to>
      <xdr:col>1</xdr:col>
      <xdr:colOff>2486025</xdr:colOff>
      <xdr:row>44</xdr:row>
      <xdr:rowOff>4969</xdr:rowOff>
    </xdr:to>
    <xdr:sp macro="" textlink="">
      <xdr:nvSpPr>
        <xdr:cNvPr id="2" name="Text Box 245"/>
        <xdr:cNvSpPr txBox="1">
          <a:spLocks noChangeArrowheads="1"/>
        </xdr:cNvSpPr>
      </xdr:nvSpPr>
      <xdr:spPr bwMode="auto">
        <a:xfrm>
          <a:off x="2771775" y="13220700"/>
          <a:ext cx="76200" cy="204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2409825</xdr:colOff>
      <xdr:row>43</xdr:row>
      <xdr:rowOff>0</xdr:rowOff>
    </xdr:from>
    <xdr:to>
      <xdr:col>1</xdr:col>
      <xdr:colOff>2486025</xdr:colOff>
      <xdr:row>44</xdr:row>
      <xdr:rowOff>4969</xdr:rowOff>
    </xdr:to>
    <xdr:sp macro="" textlink="">
      <xdr:nvSpPr>
        <xdr:cNvPr id="3" name="Text Box 245"/>
        <xdr:cNvSpPr txBox="1">
          <a:spLocks noChangeArrowheads="1"/>
        </xdr:cNvSpPr>
      </xdr:nvSpPr>
      <xdr:spPr bwMode="auto">
        <a:xfrm>
          <a:off x="2771775" y="13220700"/>
          <a:ext cx="76200" cy="204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2409825</xdr:colOff>
      <xdr:row>43</xdr:row>
      <xdr:rowOff>0</xdr:rowOff>
    </xdr:from>
    <xdr:to>
      <xdr:col>1</xdr:col>
      <xdr:colOff>2486025</xdr:colOff>
      <xdr:row>44</xdr:row>
      <xdr:rowOff>4969</xdr:rowOff>
    </xdr:to>
    <xdr:sp macro="" textlink="">
      <xdr:nvSpPr>
        <xdr:cNvPr id="4" name="Text Box 245"/>
        <xdr:cNvSpPr txBox="1">
          <a:spLocks noChangeArrowheads="1"/>
        </xdr:cNvSpPr>
      </xdr:nvSpPr>
      <xdr:spPr bwMode="auto">
        <a:xfrm>
          <a:off x="2771775" y="13220700"/>
          <a:ext cx="76200" cy="204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2409825</xdr:colOff>
      <xdr:row>45</xdr:row>
      <xdr:rowOff>0</xdr:rowOff>
    </xdr:from>
    <xdr:to>
      <xdr:col>1</xdr:col>
      <xdr:colOff>2486025</xdr:colOff>
      <xdr:row>46</xdr:row>
      <xdr:rowOff>71643</xdr:rowOff>
    </xdr:to>
    <xdr:sp macro="" textlink="">
      <xdr:nvSpPr>
        <xdr:cNvPr id="5" name="Text Box 245"/>
        <xdr:cNvSpPr txBox="1">
          <a:spLocks noChangeArrowheads="1"/>
        </xdr:cNvSpPr>
      </xdr:nvSpPr>
      <xdr:spPr bwMode="auto">
        <a:xfrm>
          <a:off x="2771775" y="17706975"/>
          <a:ext cx="76200" cy="214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2409825</xdr:colOff>
      <xdr:row>45</xdr:row>
      <xdr:rowOff>0</xdr:rowOff>
    </xdr:from>
    <xdr:to>
      <xdr:col>1</xdr:col>
      <xdr:colOff>2486025</xdr:colOff>
      <xdr:row>46</xdr:row>
      <xdr:rowOff>71643</xdr:rowOff>
    </xdr:to>
    <xdr:sp macro="" textlink="">
      <xdr:nvSpPr>
        <xdr:cNvPr id="6" name="Text Box 245"/>
        <xdr:cNvSpPr txBox="1">
          <a:spLocks noChangeArrowheads="1"/>
        </xdr:cNvSpPr>
      </xdr:nvSpPr>
      <xdr:spPr bwMode="auto">
        <a:xfrm>
          <a:off x="2771775" y="17706975"/>
          <a:ext cx="76200" cy="214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2409825</xdr:colOff>
      <xdr:row>32</xdr:row>
      <xdr:rowOff>0</xdr:rowOff>
    </xdr:from>
    <xdr:to>
      <xdr:col>1</xdr:col>
      <xdr:colOff>2486025</xdr:colOff>
      <xdr:row>33</xdr:row>
      <xdr:rowOff>114300</xdr:rowOff>
    </xdr:to>
    <xdr:sp macro="" textlink="">
      <xdr:nvSpPr>
        <xdr:cNvPr id="2" name="Text Box 245"/>
        <xdr:cNvSpPr txBox="1">
          <a:spLocks noChangeArrowheads="1"/>
        </xdr:cNvSpPr>
      </xdr:nvSpPr>
      <xdr:spPr bwMode="auto">
        <a:xfrm>
          <a:off x="2724150" y="460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2409825</xdr:colOff>
      <xdr:row>37</xdr:row>
      <xdr:rowOff>0</xdr:rowOff>
    </xdr:from>
    <xdr:to>
      <xdr:col>1</xdr:col>
      <xdr:colOff>2486025</xdr:colOff>
      <xdr:row>38</xdr:row>
      <xdr:rowOff>4969</xdr:rowOff>
    </xdr:to>
    <xdr:sp macro="" textlink="">
      <xdr:nvSpPr>
        <xdr:cNvPr id="3" name="Text Box 245"/>
        <xdr:cNvSpPr txBox="1">
          <a:spLocks noChangeArrowheads="1"/>
        </xdr:cNvSpPr>
      </xdr:nvSpPr>
      <xdr:spPr bwMode="auto">
        <a:xfrm>
          <a:off x="2771775" y="13220700"/>
          <a:ext cx="76200" cy="204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2409825</xdr:colOff>
      <xdr:row>39</xdr:row>
      <xdr:rowOff>0</xdr:rowOff>
    </xdr:from>
    <xdr:to>
      <xdr:col>1</xdr:col>
      <xdr:colOff>2486025</xdr:colOff>
      <xdr:row>40</xdr:row>
      <xdr:rowOff>71644</xdr:rowOff>
    </xdr:to>
    <xdr:sp macro="" textlink="">
      <xdr:nvSpPr>
        <xdr:cNvPr id="4" name="Text Box 245"/>
        <xdr:cNvSpPr txBox="1">
          <a:spLocks noChangeArrowheads="1"/>
        </xdr:cNvSpPr>
      </xdr:nvSpPr>
      <xdr:spPr bwMode="auto">
        <a:xfrm>
          <a:off x="2771775" y="15039975"/>
          <a:ext cx="76200" cy="224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2409825</xdr:colOff>
      <xdr:row>39</xdr:row>
      <xdr:rowOff>0</xdr:rowOff>
    </xdr:from>
    <xdr:to>
      <xdr:col>1</xdr:col>
      <xdr:colOff>2486025</xdr:colOff>
      <xdr:row>40</xdr:row>
      <xdr:rowOff>71644</xdr:rowOff>
    </xdr:to>
    <xdr:sp macro="" textlink="">
      <xdr:nvSpPr>
        <xdr:cNvPr id="5" name="Text Box 245"/>
        <xdr:cNvSpPr txBox="1">
          <a:spLocks noChangeArrowheads="1"/>
        </xdr:cNvSpPr>
      </xdr:nvSpPr>
      <xdr:spPr bwMode="auto">
        <a:xfrm>
          <a:off x="2771775" y="15039975"/>
          <a:ext cx="76200" cy="224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2409825</xdr:colOff>
      <xdr:row>40</xdr:row>
      <xdr:rowOff>0</xdr:rowOff>
    </xdr:from>
    <xdr:to>
      <xdr:col>1</xdr:col>
      <xdr:colOff>2486025</xdr:colOff>
      <xdr:row>41</xdr:row>
      <xdr:rowOff>62119</xdr:rowOff>
    </xdr:to>
    <xdr:sp macro="" textlink="">
      <xdr:nvSpPr>
        <xdr:cNvPr id="6" name="Text Box 245"/>
        <xdr:cNvSpPr txBox="1">
          <a:spLocks noChangeArrowheads="1"/>
        </xdr:cNvSpPr>
      </xdr:nvSpPr>
      <xdr:spPr bwMode="auto">
        <a:xfrm>
          <a:off x="2771775" y="18726150"/>
          <a:ext cx="76200" cy="214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2409825</xdr:colOff>
      <xdr:row>40</xdr:row>
      <xdr:rowOff>0</xdr:rowOff>
    </xdr:from>
    <xdr:to>
      <xdr:col>1</xdr:col>
      <xdr:colOff>2486025</xdr:colOff>
      <xdr:row>41</xdr:row>
      <xdr:rowOff>62119</xdr:rowOff>
    </xdr:to>
    <xdr:sp macro="" textlink="">
      <xdr:nvSpPr>
        <xdr:cNvPr id="7" name="Text Box 245"/>
        <xdr:cNvSpPr txBox="1">
          <a:spLocks noChangeArrowheads="1"/>
        </xdr:cNvSpPr>
      </xdr:nvSpPr>
      <xdr:spPr bwMode="auto">
        <a:xfrm>
          <a:off x="2771775" y="18726150"/>
          <a:ext cx="76200" cy="214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513779</xdr:colOff>
      <xdr:row>21</xdr:row>
      <xdr:rowOff>160948</xdr:rowOff>
    </xdr:from>
    <xdr:ext cx="3354838" cy="253022"/>
    <xdr:sp macro="" textlink="">
      <xdr:nvSpPr>
        <xdr:cNvPr id="2" name="CaixaDeTexto 1"/>
        <xdr:cNvSpPr txBox="1"/>
      </xdr:nvSpPr>
      <xdr:spPr>
        <a:xfrm>
          <a:off x="513779" y="3999523"/>
          <a:ext cx="3354838" cy="2530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800" b="0" i="0">
              <a:latin typeface="Cambria Math"/>
            </a:rPr>
            <a:t>(((</a:t>
          </a:r>
          <a:r>
            <a:rPr lang="pt-BR" sz="8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1+((AC+S+RI)/100))(1+(DF/100))(1+(L/100))</a:t>
          </a:r>
          <a:r>
            <a:rPr lang="pt-BR" sz="8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/(</a:t>
          </a:r>
          <a:r>
            <a:rPr lang="pt-BR" sz="800" b="0" i="0">
              <a:latin typeface="Cambria Math"/>
            </a:rPr>
            <a:t>(1+(TR/100)))−1)</a:t>
          </a:r>
          <a:r>
            <a:rPr lang="pt-BR" sz="800"/>
            <a:t>*100  </a:t>
          </a:r>
        </a:p>
        <a:p>
          <a:endParaRPr lang="pt-BR" sz="1100"/>
        </a:p>
      </xdr:txBody>
    </xdr:sp>
    <xdr:clientData/>
  </xdr:oneCellAnchor>
  <xdr:twoCellAnchor editAs="oneCell">
    <xdr:from>
      <xdr:col>0</xdr:col>
      <xdr:colOff>6351</xdr:colOff>
      <xdr:row>0</xdr:row>
      <xdr:rowOff>0</xdr:rowOff>
    </xdr:from>
    <xdr:to>
      <xdr:col>1</xdr:col>
      <xdr:colOff>591667</xdr:colOff>
      <xdr:row>1</xdr:row>
      <xdr:rowOff>504824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51" y="0"/>
          <a:ext cx="1194916" cy="6572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2409825</xdr:colOff>
      <xdr:row>551</xdr:row>
      <xdr:rowOff>0</xdr:rowOff>
    </xdr:from>
    <xdr:to>
      <xdr:col>2</xdr:col>
      <xdr:colOff>76200</xdr:colOff>
      <xdr:row>552</xdr:row>
      <xdr:rowOff>47521</xdr:rowOff>
    </xdr:to>
    <xdr:sp macro="" textlink="">
      <xdr:nvSpPr>
        <xdr:cNvPr id="2" name="Text Box 245"/>
        <xdr:cNvSpPr txBox="1">
          <a:spLocks noChangeArrowheads="1"/>
        </xdr:cNvSpPr>
      </xdr:nvSpPr>
      <xdr:spPr bwMode="auto">
        <a:xfrm>
          <a:off x="3257550" y="73209150"/>
          <a:ext cx="76200" cy="209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2409825</xdr:colOff>
      <xdr:row>551</xdr:row>
      <xdr:rowOff>0</xdr:rowOff>
    </xdr:from>
    <xdr:to>
      <xdr:col>2</xdr:col>
      <xdr:colOff>76200</xdr:colOff>
      <xdr:row>552</xdr:row>
      <xdr:rowOff>47521</xdr:rowOff>
    </xdr:to>
    <xdr:sp macro="" textlink="">
      <xdr:nvSpPr>
        <xdr:cNvPr id="3" name="Text Box 245"/>
        <xdr:cNvSpPr txBox="1">
          <a:spLocks noChangeArrowheads="1"/>
        </xdr:cNvSpPr>
      </xdr:nvSpPr>
      <xdr:spPr bwMode="auto">
        <a:xfrm>
          <a:off x="3257550" y="73209150"/>
          <a:ext cx="76200" cy="209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SM1\SharedDocs\edgar\IMPORTANTE\LICIT\NOLASCO\NOLASC~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RAL"/>
      <sheetName val="GERAL (2)"/>
      <sheetName val="cronograma"/>
      <sheetName val="Plan1"/>
      <sheetName val="ORC"/>
      <sheetName val="incendio"/>
      <sheetName val="lógica"/>
      <sheetName val="elétrico"/>
      <sheetName val="SPCDAtm."/>
      <sheetName val="telefone"/>
      <sheetName val="a.pluvial"/>
      <sheetName val="sanitária"/>
      <sheetName val="agua"/>
      <sheetName val="ar cond."/>
      <sheetName val="BDI"/>
      <sheetName val="BDI (2)"/>
      <sheetName val="L.S.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110"/>
  <sheetViews>
    <sheetView showGridLines="0" view="pageBreakPreview" zoomScale="120" zoomScaleNormal="100" zoomScaleSheetLayoutView="120" workbookViewId="0">
      <selection activeCell="B101" sqref="B101:D104"/>
    </sheetView>
  </sheetViews>
  <sheetFormatPr defaultRowHeight="11.25"/>
  <cols>
    <col min="1" max="1" width="5.42578125" style="66" customWidth="1"/>
    <col min="2" max="2" width="56" style="66" customWidth="1"/>
    <col min="3" max="3" width="6.28515625" style="71" customWidth="1"/>
    <col min="4" max="4" width="8.28515625" style="325" customWidth="1"/>
    <col min="5" max="5" width="12.7109375" style="73" hidden="1" customWidth="1"/>
    <col min="6" max="6" width="9.5703125" style="74" hidden="1" customWidth="1"/>
    <col min="7" max="7" width="11.140625" style="75" hidden="1" customWidth="1"/>
    <col min="8" max="8" width="13.140625" style="75" hidden="1" customWidth="1"/>
    <col min="9" max="9" width="34.7109375" style="71" customWidth="1"/>
    <col min="10" max="249" width="8.85546875" style="1"/>
    <col min="250" max="250" width="4.7109375" style="1" customWidth="1"/>
    <col min="251" max="251" width="53.5703125" style="1" customWidth="1"/>
    <col min="252" max="252" width="6.28515625" style="1" customWidth="1"/>
    <col min="253" max="253" width="8.28515625" style="1" customWidth="1"/>
    <col min="254" max="254" width="12.7109375" style="1" customWidth="1"/>
    <col min="255" max="255" width="10.85546875" style="1" customWidth="1"/>
    <col min="256" max="256" width="9.5703125" style="1" customWidth="1"/>
    <col min="257" max="257" width="11.140625" style="1" customWidth="1"/>
    <col min="258" max="258" width="13.140625" style="1" customWidth="1"/>
    <col min="259" max="505" width="8.85546875" style="1"/>
    <col min="506" max="506" width="4.7109375" style="1" customWidth="1"/>
    <col min="507" max="507" width="53.5703125" style="1" customWidth="1"/>
    <col min="508" max="508" width="6.28515625" style="1" customWidth="1"/>
    <col min="509" max="509" width="8.28515625" style="1" customWidth="1"/>
    <col min="510" max="510" width="12.7109375" style="1" customWidth="1"/>
    <col min="511" max="511" width="10.85546875" style="1" customWidth="1"/>
    <col min="512" max="512" width="9.5703125" style="1" customWidth="1"/>
    <col min="513" max="513" width="11.140625" style="1" customWidth="1"/>
    <col min="514" max="514" width="13.140625" style="1" customWidth="1"/>
    <col min="515" max="761" width="8.85546875" style="1"/>
    <col min="762" max="762" width="4.7109375" style="1" customWidth="1"/>
    <col min="763" max="763" width="53.5703125" style="1" customWidth="1"/>
    <col min="764" max="764" width="6.28515625" style="1" customWidth="1"/>
    <col min="765" max="765" width="8.28515625" style="1" customWidth="1"/>
    <col min="766" max="766" width="12.7109375" style="1" customWidth="1"/>
    <col min="767" max="767" width="10.85546875" style="1" customWidth="1"/>
    <col min="768" max="768" width="9.5703125" style="1" customWidth="1"/>
    <col min="769" max="769" width="11.140625" style="1" customWidth="1"/>
    <col min="770" max="770" width="13.140625" style="1" customWidth="1"/>
    <col min="771" max="1017" width="8.85546875" style="1"/>
    <col min="1018" max="1018" width="4.7109375" style="1" customWidth="1"/>
    <col min="1019" max="1019" width="53.5703125" style="1" customWidth="1"/>
    <col min="1020" max="1020" width="6.28515625" style="1" customWidth="1"/>
    <col min="1021" max="1021" width="8.28515625" style="1" customWidth="1"/>
    <col min="1022" max="1022" width="12.7109375" style="1" customWidth="1"/>
    <col min="1023" max="1023" width="10.85546875" style="1" customWidth="1"/>
    <col min="1024" max="1024" width="9.5703125" style="1" customWidth="1"/>
    <col min="1025" max="1025" width="11.140625" style="1" customWidth="1"/>
    <col min="1026" max="1026" width="13.140625" style="1" customWidth="1"/>
    <col min="1027" max="1273" width="8.85546875" style="1"/>
    <col min="1274" max="1274" width="4.7109375" style="1" customWidth="1"/>
    <col min="1275" max="1275" width="53.5703125" style="1" customWidth="1"/>
    <col min="1276" max="1276" width="6.28515625" style="1" customWidth="1"/>
    <col min="1277" max="1277" width="8.28515625" style="1" customWidth="1"/>
    <col min="1278" max="1278" width="12.7109375" style="1" customWidth="1"/>
    <col min="1279" max="1279" width="10.85546875" style="1" customWidth="1"/>
    <col min="1280" max="1280" width="9.5703125" style="1" customWidth="1"/>
    <col min="1281" max="1281" width="11.140625" style="1" customWidth="1"/>
    <col min="1282" max="1282" width="13.140625" style="1" customWidth="1"/>
    <col min="1283" max="1529" width="8.85546875" style="1"/>
    <col min="1530" max="1530" width="4.7109375" style="1" customWidth="1"/>
    <col min="1531" max="1531" width="53.5703125" style="1" customWidth="1"/>
    <col min="1532" max="1532" width="6.28515625" style="1" customWidth="1"/>
    <col min="1533" max="1533" width="8.28515625" style="1" customWidth="1"/>
    <col min="1534" max="1534" width="12.7109375" style="1" customWidth="1"/>
    <col min="1535" max="1535" width="10.85546875" style="1" customWidth="1"/>
    <col min="1536" max="1536" width="9.5703125" style="1" customWidth="1"/>
    <col min="1537" max="1537" width="11.140625" style="1" customWidth="1"/>
    <col min="1538" max="1538" width="13.140625" style="1" customWidth="1"/>
    <col min="1539" max="1785" width="8.85546875" style="1"/>
    <col min="1786" max="1786" width="4.7109375" style="1" customWidth="1"/>
    <col min="1787" max="1787" width="53.5703125" style="1" customWidth="1"/>
    <col min="1788" max="1788" width="6.28515625" style="1" customWidth="1"/>
    <col min="1789" max="1789" width="8.28515625" style="1" customWidth="1"/>
    <col min="1790" max="1790" width="12.7109375" style="1" customWidth="1"/>
    <col min="1791" max="1791" width="10.85546875" style="1" customWidth="1"/>
    <col min="1792" max="1792" width="9.5703125" style="1" customWidth="1"/>
    <col min="1793" max="1793" width="11.140625" style="1" customWidth="1"/>
    <col min="1794" max="1794" width="13.140625" style="1" customWidth="1"/>
    <col min="1795" max="2041" width="8.85546875" style="1"/>
    <col min="2042" max="2042" width="4.7109375" style="1" customWidth="1"/>
    <col min="2043" max="2043" width="53.5703125" style="1" customWidth="1"/>
    <col min="2044" max="2044" width="6.28515625" style="1" customWidth="1"/>
    <col min="2045" max="2045" width="8.28515625" style="1" customWidth="1"/>
    <col min="2046" max="2046" width="12.7109375" style="1" customWidth="1"/>
    <col min="2047" max="2047" width="10.85546875" style="1" customWidth="1"/>
    <col min="2048" max="2048" width="9.5703125" style="1" customWidth="1"/>
    <col min="2049" max="2049" width="11.140625" style="1" customWidth="1"/>
    <col min="2050" max="2050" width="13.140625" style="1" customWidth="1"/>
    <col min="2051" max="2297" width="8.85546875" style="1"/>
    <col min="2298" max="2298" width="4.7109375" style="1" customWidth="1"/>
    <col min="2299" max="2299" width="53.5703125" style="1" customWidth="1"/>
    <col min="2300" max="2300" width="6.28515625" style="1" customWidth="1"/>
    <col min="2301" max="2301" width="8.28515625" style="1" customWidth="1"/>
    <col min="2302" max="2302" width="12.7109375" style="1" customWidth="1"/>
    <col min="2303" max="2303" width="10.85546875" style="1" customWidth="1"/>
    <col min="2304" max="2304" width="9.5703125" style="1" customWidth="1"/>
    <col min="2305" max="2305" width="11.140625" style="1" customWidth="1"/>
    <col min="2306" max="2306" width="13.140625" style="1" customWidth="1"/>
    <col min="2307" max="2553" width="8.85546875" style="1"/>
    <col min="2554" max="2554" width="4.7109375" style="1" customWidth="1"/>
    <col min="2555" max="2555" width="53.5703125" style="1" customWidth="1"/>
    <col min="2556" max="2556" width="6.28515625" style="1" customWidth="1"/>
    <col min="2557" max="2557" width="8.28515625" style="1" customWidth="1"/>
    <col min="2558" max="2558" width="12.7109375" style="1" customWidth="1"/>
    <col min="2559" max="2559" width="10.85546875" style="1" customWidth="1"/>
    <col min="2560" max="2560" width="9.5703125" style="1" customWidth="1"/>
    <col min="2561" max="2561" width="11.140625" style="1" customWidth="1"/>
    <col min="2562" max="2562" width="13.140625" style="1" customWidth="1"/>
    <col min="2563" max="2809" width="8.85546875" style="1"/>
    <col min="2810" max="2810" width="4.7109375" style="1" customWidth="1"/>
    <col min="2811" max="2811" width="53.5703125" style="1" customWidth="1"/>
    <col min="2812" max="2812" width="6.28515625" style="1" customWidth="1"/>
    <col min="2813" max="2813" width="8.28515625" style="1" customWidth="1"/>
    <col min="2814" max="2814" width="12.7109375" style="1" customWidth="1"/>
    <col min="2815" max="2815" width="10.85546875" style="1" customWidth="1"/>
    <col min="2816" max="2816" width="9.5703125" style="1" customWidth="1"/>
    <col min="2817" max="2817" width="11.140625" style="1" customWidth="1"/>
    <col min="2818" max="2818" width="13.140625" style="1" customWidth="1"/>
    <col min="2819" max="3065" width="8.85546875" style="1"/>
    <col min="3066" max="3066" width="4.7109375" style="1" customWidth="1"/>
    <col min="3067" max="3067" width="53.5703125" style="1" customWidth="1"/>
    <col min="3068" max="3068" width="6.28515625" style="1" customWidth="1"/>
    <col min="3069" max="3069" width="8.28515625" style="1" customWidth="1"/>
    <col min="3070" max="3070" width="12.7109375" style="1" customWidth="1"/>
    <col min="3071" max="3071" width="10.85546875" style="1" customWidth="1"/>
    <col min="3072" max="3072" width="9.5703125" style="1" customWidth="1"/>
    <col min="3073" max="3073" width="11.140625" style="1" customWidth="1"/>
    <col min="3074" max="3074" width="13.140625" style="1" customWidth="1"/>
    <col min="3075" max="3321" width="8.85546875" style="1"/>
    <col min="3322" max="3322" width="4.7109375" style="1" customWidth="1"/>
    <col min="3323" max="3323" width="53.5703125" style="1" customWidth="1"/>
    <col min="3324" max="3324" width="6.28515625" style="1" customWidth="1"/>
    <col min="3325" max="3325" width="8.28515625" style="1" customWidth="1"/>
    <col min="3326" max="3326" width="12.7109375" style="1" customWidth="1"/>
    <col min="3327" max="3327" width="10.85546875" style="1" customWidth="1"/>
    <col min="3328" max="3328" width="9.5703125" style="1" customWidth="1"/>
    <col min="3329" max="3329" width="11.140625" style="1" customWidth="1"/>
    <col min="3330" max="3330" width="13.140625" style="1" customWidth="1"/>
    <col min="3331" max="3577" width="8.85546875" style="1"/>
    <col min="3578" max="3578" width="4.7109375" style="1" customWidth="1"/>
    <col min="3579" max="3579" width="53.5703125" style="1" customWidth="1"/>
    <col min="3580" max="3580" width="6.28515625" style="1" customWidth="1"/>
    <col min="3581" max="3581" width="8.28515625" style="1" customWidth="1"/>
    <col min="3582" max="3582" width="12.7109375" style="1" customWidth="1"/>
    <col min="3583" max="3583" width="10.85546875" style="1" customWidth="1"/>
    <col min="3584" max="3584" width="9.5703125" style="1" customWidth="1"/>
    <col min="3585" max="3585" width="11.140625" style="1" customWidth="1"/>
    <col min="3586" max="3586" width="13.140625" style="1" customWidth="1"/>
    <col min="3587" max="3833" width="8.85546875" style="1"/>
    <col min="3834" max="3834" width="4.7109375" style="1" customWidth="1"/>
    <col min="3835" max="3835" width="53.5703125" style="1" customWidth="1"/>
    <col min="3836" max="3836" width="6.28515625" style="1" customWidth="1"/>
    <col min="3837" max="3837" width="8.28515625" style="1" customWidth="1"/>
    <col min="3838" max="3838" width="12.7109375" style="1" customWidth="1"/>
    <col min="3839" max="3839" width="10.85546875" style="1" customWidth="1"/>
    <col min="3840" max="3840" width="9.5703125" style="1" customWidth="1"/>
    <col min="3841" max="3841" width="11.140625" style="1" customWidth="1"/>
    <col min="3842" max="3842" width="13.140625" style="1" customWidth="1"/>
    <col min="3843" max="4089" width="8.85546875" style="1"/>
    <col min="4090" max="4090" width="4.7109375" style="1" customWidth="1"/>
    <col min="4091" max="4091" width="53.5703125" style="1" customWidth="1"/>
    <col min="4092" max="4092" width="6.28515625" style="1" customWidth="1"/>
    <col min="4093" max="4093" width="8.28515625" style="1" customWidth="1"/>
    <col min="4094" max="4094" width="12.7109375" style="1" customWidth="1"/>
    <col min="4095" max="4095" width="10.85546875" style="1" customWidth="1"/>
    <col min="4096" max="4096" width="9.5703125" style="1" customWidth="1"/>
    <col min="4097" max="4097" width="11.140625" style="1" customWidth="1"/>
    <col min="4098" max="4098" width="13.140625" style="1" customWidth="1"/>
    <col min="4099" max="4345" width="8.85546875" style="1"/>
    <col min="4346" max="4346" width="4.7109375" style="1" customWidth="1"/>
    <col min="4347" max="4347" width="53.5703125" style="1" customWidth="1"/>
    <col min="4348" max="4348" width="6.28515625" style="1" customWidth="1"/>
    <col min="4349" max="4349" width="8.28515625" style="1" customWidth="1"/>
    <col min="4350" max="4350" width="12.7109375" style="1" customWidth="1"/>
    <col min="4351" max="4351" width="10.85546875" style="1" customWidth="1"/>
    <col min="4352" max="4352" width="9.5703125" style="1" customWidth="1"/>
    <col min="4353" max="4353" width="11.140625" style="1" customWidth="1"/>
    <col min="4354" max="4354" width="13.140625" style="1" customWidth="1"/>
    <col min="4355" max="4601" width="8.85546875" style="1"/>
    <col min="4602" max="4602" width="4.7109375" style="1" customWidth="1"/>
    <col min="4603" max="4603" width="53.5703125" style="1" customWidth="1"/>
    <col min="4604" max="4604" width="6.28515625" style="1" customWidth="1"/>
    <col min="4605" max="4605" width="8.28515625" style="1" customWidth="1"/>
    <col min="4606" max="4606" width="12.7109375" style="1" customWidth="1"/>
    <col min="4607" max="4607" width="10.85546875" style="1" customWidth="1"/>
    <col min="4608" max="4608" width="9.5703125" style="1" customWidth="1"/>
    <col min="4609" max="4609" width="11.140625" style="1" customWidth="1"/>
    <col min="4610" max="4610" width="13.140625" style="1" customWidth="1"/>
    <col min="4611" max="4857" width="8.85546875" style="1"/>
    <col min="4858" max="4858" width="4.7109375" style="1" customWidth="1"/>
    <col min="4859" max="4859" width="53.5703125" style="1" customWidth="1"/>
    <col min="4860" max="4860" width="6.28515625" style="1" customWidth="1"/>
    <col min="4861" max="4861" width="8.28515625" style="1" customWidth="1"/>
    <col min="4862" max="4862" width="12.7109375" style="1" customWidth="1"/>
    <col min="4863" max="4863" width="10.85546875" style="1" customWidth="1"/>
    <col min="4864" max="4864" width="9.5703125" style="1" customWidth="1"/>
    <col min="4865" max="4865" width="11.140625" style="1" customWidth="1"/>
    <col min="4866" max="4866" width="13.140625" style="1" customWidth="1"/>
    <col min="4867" max="5113" width="8.85546875" style="1"/>
    <col min="5114" max="5114" width="4.7109375" style="1" customWidth="1"/>
    <col min="5115" max="5115" width="53.5703125" style="1" customWidth="1"/>
    <col min="5116" max="5116" width="6.28515625" style="1" customWidth="1"/>
    <col min="5117" max="5117" width="8.28515625" style="1" customWidth="1"/>
    <col min="5118" max="5118" width="12.7109375" style="1" customWidth="1"/>
    <col min="5119" max="5119" width="10.85546875" style="1" customWidth="1"/>
    <col min="5120" max="5120" width="9.5703125" style="1" customWidth="1"/>
    <col min="5121" max="5121" width="11.140625" style="1" customWidth="1"/>
    <col min="5122" max="5122" width="13.140625" style="1" customWidth="1"/>
    <col min="5123" max="5369" width="8.85546875" style="1"/>
    <col min="5370" max="5370" width="4.7109375" style="1" customWidth="1"/>
    <col min="5371" max="5371" width="53.5703125" style="1" customWidth="1"/>
    <col min="5372" max="5372" width="6.28515625" style="1" customWidth="1"/>
    <col min="5373" max="5373" width="8.28515625" style="1" customWidth="1"/>
    <col min="5374" max="5374" width="12.7109375" style="1" customWidth="1"/>
    <col min="5375" max="5375" width="10.85546875" style="1" customWidth="1"/>
    <col min="5376" max="5376" width="9.5703125" style="1" customWidth="1"/>
    <col min="5377" max="5377" width="11.140625" style="1" customWidth="1"/>
    <col min="5378" max="5378" width="13.140625" style="1" customWidth="1"/>
    <col min="5379" max="5625" width="8.85546875" style="1"/>
    <col min="5626" max="5626" width="4.7109375" style="1" customWidth="1"/>
    <col min="5627" max="5627" width="53.5703125" style="1" customWidth="1"/>
    <col min="5628" max="5628" width="6.28515625" style="1" customWidth="1"/>
    <col min="5629" max="5629" width="8.28515625" style="1" customWidth="1"/>
    <col min="5630" max="5630" width="12.7109375" style="1" customWidth="1"/>
    <col min="5631" max="5631" width="10.85546875" style="1" customWidth="1"/>
    <col min="5632" max="5632" width="9.5703125" style="1" customWidth="1"/>
    <col min="5633" max="5633" width="11.140625" style="1" customWidth="1"/>
    <col min="5634" max="5634" width="13.140625" style="1" customWidth="1"/>
    <col min="5635" max="5881" width="8.85546875" style="1"/>
    <col min="5882" max="5882" width="4.7109375" style="1" customWidth="1"/>
    <col min="5883" max="5883" width="53.5703125" style="1" customWidth="1"/>
    <col min="5884" max="5884" width="6.28515625" style="1" customWidth="1"/>
    <col min="5885" max="5885" width="8.28515625" style="1" customWidth="1"/>
    <col min="5886" max="5886" width="12.7109375" style="1" customWidth="1"/>
    <col min="5887" max="5887" width="10.85546875" style="1" customWidth="1"/>
    <col min="5888" max="5888" width="9.5703125" style="1" customWidth="1"/>
    <col min="5889" max="5889" width="11.140625" style="1" customWidth="1"/>
    <col min="5890" max="5890" width="13.140625" style="1" customWidth="1"/>
    <col min="5891" max="6137" width="8.85546875" style="1"/>
    <col min="6138" max="6138" width="4.7109375" style="1" customWidth="1"/>
    <col min="6139" max="6139" width="53.5703125" style="1" customWidth="1"/>
    <col min="6140" max="6140" width="6.28515625" style="1" customWidth="1"/>
    <col min="6141" max="6141" width="8.28515625" style="1" customWidth="1"/>
    <col min="6142" max="6142" width="12.7109375" style="1" customWidth="1"/>
    <col min="6143" max="6143" width="10.85546875" style="1" customWidth="1"/>
    <col min="6144" max="6144" width="9.5703125" style="1" customWidth="1"/>
    <col min="6145" max="6145" width="11.140625" style="1" customWidth="1"/>
    <col min="6146" max="6146" width="13.140625" style="1" customWidth="1"/>
    <col min="6147" max="6393" width="8.85546875" style="1"/>
    <col min="6394" max="6394" width="4.7109375" style="1" customWidth="1"/>
    <col min="6395" max="6395" width="53.5703125" style="1" customWidth="1"/>
    <col min="6396" max="6396" width="6.28515625" style="1" customWidth="1"/>
    <col min="6397" max="6397" width="8.28515625" style="1" customWidth="1"/>
    <col min="6398" max="6398" width="12.7109375" style="1" customWidth="1"/>
    <col min="6399" max="6399" width="10.85546875" style="1" customWidth="1"/>
    <col min="6400" max="6400" width="9.5703125" style="1" customWidth="1"/>
    <col min="6401" max="6401" width="11.140625" style="1" customWidth="1"/>
    <col min="6402" max="6402" width="13.140625" style="1" customWidth="1"/>
    <col min="6403" max="6649" width="8.85546875" style="1"/>
    <col min="6650" max="6650" width="4.7109375" style="1" customWidth="1"/>
    <col min="6651" max="6651" width="53.5703125" style="1" customWidth="1"/>
    <col min="6652" max="6652" width="6.28515625" style="1" customWidth="1"/>
    <col min="6653" max="6653" width="8.28515625" style="1" customWidth="1"/>
    <col min="6654" max="6654" width="12.7109375" style="1" customWidth="1"/>
    <col min="6655" max="6655" width="10.85546875" style="1" customWidth="1"/>
    <col min="6656" max="6656" width="9.5703125" style="1" customWidth="1"/>
    <col min="6657" max="6657" width="11.140625" style="1" customWidth="1"/>
    <col min="6658" max="6658" width="13.140625" style="1" customWidth="1"/>
    <col min="6659" max="6905" width="8.85546875" style="1"/>
    <col min="6906" max="6906" width="4.7109375" style="1" customWidth="1"/>
    <col min="6907" max="6907" width="53.5703125" style="1" customWidth="1"/>
    <col min="6908" max="6908" width="6.28515625" style="1" customWidth="1"/>
    <col min="6909" max="6909" width="8.28515625" style="1" customWidth="1"/>
    <col min="6910" max="6910" width="12.7109375" style="1" customWidth="1"/>
    <col min="6911" max="6911" width="10.85546875" style="1" customWidth="1"/>
    <col min="6912" max="6912" width="9.5703125" style="1" customWidth="1"/>
    <col min="6913" max="6913" width="11.140625" style="1" customWidth="1"/>
    <col min="6914" max="6914" width="13.140625" style="1" customWidth="1"/>
    <col min="6915" max="7161" width="8.85546875" style="1"/>
    <col min="7162" max="7162" width="4.7109375" style="1" customWidth="1"/>
    <col min="7163" max="7163" width="53.5703125" style="1" customWidth="1"/>
    <col min="7164" max="7164" width="6.28515625" style="1" customWidth="1"/>
    <col min="7165" max="7165" width="8.28515625" style="1" customWidth="1"/>
    <col min="7166" max="7166" width="12.7109375" style="1" customWidth="1"/>
    <col min="7167" max="7167" width="10.85546875" style="1" customWidth="1"/>
    <col min="7168" max="7168" width="9.5703125" style="1" customWidth="1"/>
    <col min="7169" max="7169" width="11.140625" style="1" customWidth="1"/>
    <col min="7170" max="7170" width="13.140625" style="1" customWidth="1"/>
    <col min="7171" max="7417" width="8.85546875" style="1"/>
    <col min="7418" max="7418" width="4.7109375" style="1" customWidth="1"/>
    <col min="7419" max="7419" width="53.5703125" style="1" customWidth="1"/>
    <col min="7420" max="7420" width="6.28515625" style="1" customWidth="1"/>
    <col min="7421" max="7421" width="8.28515625" style="1" customWidth="1"/>
    <col min="7422" max="7422" width="12.7109375" style="1" customWidth="1"/>
    <col min="7423" max="7423" width="10.85546875" style="1" customWidth="1"/>
    <col min="7424" max="7424" width="9.5703125" style="1" customWidth="1"/>
    <col min="7425" max="7425" width="11.140625" style="1" customWidth="1"/>
    <col min="7426" max="7426" width="13.140625" style="1" customWidth="1"/>
    <col min="7427" max="7673" width="8.85546875" style="1"/>
    <col min="7674" max="7674" width="4.7109375" style="1" customWidth="1"/>
    <col min="7675" max="7675" width="53.5703125" style="1" customWidth="1"/>
    <col min="7676" max="7676" width="6.28515625" style="1" customWidth="1"/>
    <col min="7677" max="7677" width="8.28515625" style="1" customWidth="1"/>
    <col min="7678" max="7678" width="12.7109375" style="1" customWidth="1"/>
    <col min="7679" max="7679" width="10.85546875" style="1" customWidth="1"/>
    <col min="7680" max="7680" width="9.5703125" style="1" customWidth="1"/>
    <col min="7681" max="7681" width="11.140625" style="1" customWidth="1"/>
    <col min="7682" max="7682" width="13.140625" style="1" customWidth="1"/>
    <col min="7683" max="7929" width="8.85546875" style="1"/>
    <col min="7930" max="7930" width="4.7109375" style="1" customWidth="1"/>
    <col min="7931" max="7931" width="53.5703125" style="1" customWidth="1"/>
    <col min="7932" max="7932" width="6.28515625" style="1" customWidth="1"/>
    <col min="7933" max="7933" width="8.28515625" style="1" customWidth="1"/>
    <col min="7934" max="7934" width="12.7109375" style="1" customWidth="1"/>
    <col min="7935" max="7935" width="10.85546875" style="1" customWidth="1"/>
    <col min="7936" max="7936" width="9.5703125" style="1" customWidth="1"/>
    <col min="7937" max="7937" width="11.140625" style="1" customWidth="1"/>
    <col min="7938" max="7938" width="13.140625" style="1" customWidth="1"/>
    <col min="7939" max="8185" width="8.85546875" style="1"/>
    <col min="8186" max="8186" width="4.7109375" style="1" customWidth="1"/>
    <col min="8187" max="8187" width="53.5703125" style="1" customWidth="1"/>
    <col min="8188" max="8188" width="6.28515625" style="1" customWidth="1"/>
    <col min="8189" max="8189" width="8.28515625" style="1" customWidth="1"/>
    <col min="8190" max="8190" width="12.7109375" style="1" customWidth="1"/>
    <col min="8191" max="8191" width="10.85546875" style="1" customWidth="1"/>
    <col min="8192" max="8192" width="9.5703125" style="1" customWidth="1"/>
    <col min="8193" max="8193" width="11.140625" style="1" customWidth="1"/>
    <col min="8194" max="8194" width="13.140625" style="1" customWidth="1"/>
    <col min="8195" max="8441" width="8.85546875" style="1"/>
    <col min="8442" max="8442" width="4.7109375" style="1" customWidth="1"/>
    <col min="8443" max="8443" width="53.5703125" style="1" customWidth="1"/>
    <col min="8444" max="8444" width="6.28515625" style="1" customWidth="1"/>
    <col min="8445" max="8445" width="8.28515625" style="1" customWidth="1"/>
    <col min="8446" max="8446" width="12.7109375" style="1" customWidth="1"/>
    <col min="8447" max="8447" width="10.85546875" style="1" customWidth="1"/>
    <col min="8448" max="8448" width="9.5703125" style="1" customWidth="1"/>
    <col min="8449" max="8449" width="11.140625" style="1" customWidth="1"/>
    <col min="8450" max="8450" width="13.140625" style="1" customWidth="1"/>
    <col min="8451" max="8697" width="8.85546875" style="1"/>
    <col min="8698" max="8698" width="4.7109375" style="1" customWidth="1"/>
    <col min="8699" max="8699" width="53.5703125" style="1" customWidth="1"/>
    <col min="8700" max="8700" width="6.28515625" style="1" customWidth="1"/>
    <col min="8701" max="8701" width="8.28515625" style="1" customWidth="1"/>
    <col min="8702" max="8702" width="12.7109375" style="1" customWidth="1"/>
    <col min="8703" max="8703" width="10.85546875" style="1" customWidth="1"/>
    <col min="8704" max="8704" width="9.5703125" style="1" customWidth="1"/>
    <col min="8705" max="8705" width="11.140625" style="1" customWidth="1"/>
    <col min="8706" max="8706" width="13.140625" style="1" customWidth="1"/>
    <col min="8707" max="8953" width="8.85546875" style="1"/>
    <col min="8954" max="8954" width="4.7109375" style="1" customWidth="1"/>
    <col min="8955" max="8955" width="53.5703125" style="1" customWidth="1"/>
    <col min="8956" max="8956" width="6.28515625" style="1" customWidth="1"/>
    <col min="8957" max="8957" width="8.28515625" style="1" customWidth="1"/>
    <col min="8958" max="8958" width="12.7109375" style="1" customWidth="1"/>
    <col min="8959" max="8959" width="10.85546875" style="1" customWidth="1"/>
    <col min="8960" max="8960" width="9.5703125" style="1" customWidth="1"/>
    <col min="8961" max="8961" width="11.140625" style="1" customWidth="1"/>
    <col min="8962" max="8962" width="13.140625" style="1" customWidth="1"/>
    <col min="8963" max="9209" width="8.85546875" style="1"/>
    <col min="9210" max="9210" width="4.7109375" style="1" customWidth="1"/>
    <col min="9211" max="9211" width="53.5703125" style="1" customWidth="1"/>
    <col min="9212" max="9212" width="6.28515625" style="1" customWidth="1"/>
    <col min="9213" max="9213" width="8.28515625" style="1" customWidth="1"/>
    <col min="9214" max="9214" width="12.7109375" style="1" customWidth="1"/>
    <col min="9215" max="9215" width="10.85546875" style="1" customWidth="1"/>
    <col min="9216" max="9216" width="9.5703125" style="1" customWidth="1"/>
    <col min="9217" max="9217" width="11.140625" style="1" customWidth="1"/>
    <col min="9218" max="9218" width="13.140625" style="1" customWidth="1"/>
    <col min="9219" max="9465" width="8.85546875" style="1"/>
    <col min="9466" max="9466" width="4.7109375" style="1" customWidth="1"/>
    <col min="9467" max="9467" width="53.5703125" style="1" customWidth="1"/>
    <col min="9468" max="9468" width="6.28515625" style="1" customWidth="1"/>
    <col min="9469" max="9469" width="8.28515625" style="1" customWidth="1"/>
    <col min="9470" max="9470" width="12.7109375" style="1" customWidth="1"/>
    <col min="9471" max="9471" width="10.85546875" style="1" customWidth="1"/>
    <col min="9472" max="9472" width="9.5703125" style="1" customWidth="1"/>
    <col min="9473" max="9473" width="11.140625" style="1" customWidth="1"/>
    <col min="9474" max="9474" width="13.140625" style="1" customWidth="1"/>
    <col min="9475" max="9721" width="8.85546875" style="1"/>
    <col min="9722" max="9722" width="4.7109375" style="1" customWidth="1"/>
    <col min="9723" max="9723" width="53.5703125" style="1" customWidth="1"/>
    <col min="9724" max="9724" width="6.28515625" style="1" customWidth="1"/>
    <col min="9725" max="9725" width="8.28515625" style="1" customWidth="1"/>
    <col min="9726" max="9726" width="12.7109375" style="1" customWidth="1"/>
    <col min="9727" max="9727" width="10.85546875" style="1" customWidth="1"/>
    <col min="9728" max="9728" width="9.5703125" style="1" customWidth="1"/>
    <col min="9729" max="9729" width="11.140625" style="1" customWidth="1"/>
    <col min="9730" max="9730" width="13.140625" style="1" customWidth="1"/>
    <col min="9731" max="9977" width="8.85546875" style="1"/>
    <col min="9978" max="9978" width="4.7109375" style="1" customWidth="1"/>
    <col min="9979" max="9979" width="53.5703125" style="1" customWidth="1"/>
    <col min="9980" max="9980" width="6.28515625" style="1" customWidth="1"/>
    <col min="9981" max="9981" width="8.28515625" style="1" customWidth="1"/>
    <col min="9982" max="9982" width="12.7109375" style="1" customWidth="1"/>
    <col min="9983" max="9983" width="10.85546875" style="1" customWidth="1"/>
    <col min="9984" max="9984" width="9.5703125" style="1" customWidth="1"/>
    <col min="9985" max="9985" width="11.140625" style="1" customWidth="1"/>
    <col min="9986" max="9986" width="13.140625" style="1" customWidth="1"/>
    <col min="9987" max="10233" width="8.85546875" style="1"/>
    <col min="10234" max="10234" width="4.7109375" style="1" customWidth="1"/>
    <col min="10235" max="10235" width="53.5703125" style="1" customWidth="1"/>
    <col min="10236" max="10236" width="6.28515625" style="1" customWidth="1"/>
    <col min="10237" max="10237" width="8.28515625" style="1" customWidth="1"/>
    <col min="10238" max="10238" width="12.7109375" style="1" customWidth="1"/>
    <col min="10239" max="10239" width="10.85546875" style="1" customWidth="1"/>
    <col min="10240" max="10240" width="9.5703125" style="1" customWidth="1"/>
    <col min="10241" max="10241" width="11.140625" style="1" customWidth="1"/>
    <col min="10242" max="10242" width="13.140625" style="1" customWidth="1"/>
    <col min="10243" max="10489" width="8.85546875" style="1"/>
    <col min="10490" max="10490" width="4.7109375" style="1" customWidth="1"/>
    <col min="10491" max="10491" width="53.5703125" style="1" customWidth="1"/>
    <col min="10492" max="10492" width="6.28515625" style="1" customWidth="1"/>
    <col min="10493" max="10493" width="8.28515625" style="1" customWidth="1"/>
    <col min="10494" max="10494" width="12.7109375" style="1" customWidth="1"/>
    <col min="10495" max="10495" width="10.85546875" style="1" customWidth="1"/>
    <col min="10496" max="10496" width="9.5703125" style="1" customWidth="1"/>
    <col min="10497" max="10497" width="11.140625" style="1" customWidth="1"/>
    <col min="10498" max="10498" width="13.140625" style="1" customWidth="1"/>
    <col min="10499" max="10745" width="8.85546875" style="1"/>
    <col min="10746" max="10746" width="4.7109375" style="1" customWidth="1"/>
    <col min="10747" max="10747" width="53.5703125" style="1" customWidth="1"/>
    <col min="10748" max="10748" width="6.28515625" style="1" customWidth="1"/>
    <col min="10749" max="10749" width="8.28515625" style="1" customWidth="1"/>
    <col min="10750" max="10750" width="12.7109375" style="1" customWidth="1"/>
    <col min="10751" max="10751" width="10.85546875" style="1" customWidth="1"/>
    <col min="10752" max="10752" width="9.5703125" style="1" customWidth="1"/>
    <col min="10753" max="10753" width="11.140625" style="1" customWidth="1"/>
    <col min="10754" max="10754" width="13.140625" style="1" customWidth="1"/>
    <col min="10755" max="11001" width="8.85546875" style="1"/>
    <col min="11002" max="11002" width="4.7109375" style="1" customWidth="1"/>
    <col min="11003" max="11003" width="53.5703125" style="1" customWidth="1"/>
    <col min="11004" max="11004" width="6.28515625" style="1" customWidth="1"/>
    <col min="11005" max="11005" width="8.28515625" style="1" customWidth="1"/>
    <col min="11006" max="11006" width="12.7109375" style="1" customWidth="1"/>
    <col min="11007" max="11007" width="10.85546875" style="1" customWidth="1"/>
    <col min="11008" max="11008" width="9.5703125" style="1" customWidth="1"/>
    <col min="11009" max="11009" width="11.140625" style="1" customWidth="1"/>
    <col min="11010" max="11010" width="13.140625" style="1" customWidth="1"/>
    <col min="11011" max="11257" width="8.85546875" style="1"/>
    <col min="11258" max="11258" width="4.7109375" style="1" customWidth="1"/>
    <col min="11259" max="11259" width="53.5703125" style="1" customWidth="1"/>
    <col min="11260" max="11260" width="6.28515625" style="1" customWidth="1"/>
    <col min="11261" max="11261" width="8.28515625" style="1" customWidth="1"/>
    <col min="11262" max="11262" width="12.7109375" style="1" customWidth="1"/>
    <col min="11263" max="11263" width="10.85546875" style="1" customWidth="1"/>
    <col min="11264" max="11264" width="9.5703125" style="1" customWidth="1"/>
    <col min="11265" max="11265" width="11.140625" style="1" customWidth="1"/>
    <col min="11266" max="11266" width="13.140625" style="1" customWidth="1"/>
    <col min="11267" max="11513" width="8.85546875" style="1"/>
    <col min="11514" max="11514" width="4.7109375" style="1" customWidth="1"/>
    <col min="11515" max="11515" width="53.5703125" style="1" customWidth="1"/>
    <col min="11516" max="11516" width="6.28515625" style="1" customWidth="1"/>
    <col min="11517" max="11517" width="8.28515625" style="1" customWidth="1"/>
    <col min="11518" max="11518" width="12.7109375" style="1" customWidth="1"/>
    <col min="11519" max="11519" width="10.85546875" style="1" customWidth="1"/>
    <col min="11520" max="11520" width="9.5703125" style="1" customWidth="1"/>
    <col min="11521" max="11521" width="11.140625" style="1" customWidth="1"/>
    <col min="11522" max="11522" width="13.140625" style="1" customWidth="1"/>
    <col min="11523" max="11769" width="8.85546875" style="1"/>
    <col min="11770" max="11770" width="4.7109375" style="1" customWidth="1"/>
    <col min="11771" max="11771" width="53.5703125" style="1" customWidth="1"/>
    <col min="11772" max="11772" width="6.28515625" style="1" customWidth="1"/>
    <col min="11773" max="11773" width="8.28515625" style="1" customWidth="1"/>
    <col min="11774" max="11774" width="12.7109375" style="1" customWidth="1"/>
    <col min="11775" max="11775" width="10.85546875" style="1" customWidth="1"/>
    <col min="11776" max="11776" width="9.5703125" style="1" customWidth="1"/>
    <col min="11777" max="11777" width="11.140625" style="1" customWidth="1"/>
    <col min="11778" max="11778" width="13.140625" style="1" customWidth="1"/>
    <col min="11779" max="12025" width="8.85546875" style="1"/>
    <col min="12026" max="12026" width="4.7109375" style="1" customWidth="1"/>
    <col min="12027" max="12027" width="53.5703125" style="1" customWidth="1"/>
    <col min="12028" max="12028" width="6.28515625" style="1" customWidth="1"/>
    <col min="12029" max="12029" width="8.28515625" style="1" customWidth="1"/>
    <col min="12030" max="12030" width="12.7109375" style="1" customWidth="1"/>
    <col min="12031" max="12031" width="10.85546875" style="1" customWidth="1"/>
    <col min="12032" max="12032" width="9.5703125" style="1" customWidth="1"/>
    <col min="12033" max="12033" width="11.140625" style="1" customWidth="1"/>
    <col min="12034" max="12034" width="13.140625" style="1" customWidth="1"/>
    <col min="12035" max="12281" width="8.85546875" style="1"/>
    <col min="12282" max="12282" width="4.7109375" style="1" customWidth="1"/>
    <col min="12283" max="12283" width="53.5703125" style="1" customWidth="1"/>
    <col min="12284" max="12284" width="6.28515625" style="1" customWidth="1"/>
    <col min="12285" max="12285" width="8.28515625" style="1" customWidth="1"/>
    <col min="12286" max="12286" width="12.7109375" style="1" customWidth="1"/>
    <col min="12287" max="12287" width="10.85546875" style="1" customWidth="1"/>
    <col min="12288" max="12288" width="9.5703125" style="1" customWidth="1"/>
    <col min="12289" max="12289" width="11.140625" style="1" customWidth="1"/>
    <col min="12290" max="12290" width="13.140625" style="1" customWidth="1"/>
    <col min="12291" max="12537" width="8.85546875" style="1"/>
    <col min="12538" max="12538" width="4.7109375" style="1" customWidth="1"/>
    <col min="12539" max="12539" width="53.5703125" style="1" customWidth="1"/>
    <col min="12540" max="12540" width="6.28515625" style="1" customWidth="1"/>
    <col min="12541" max="12541" width="8.28515625" style="1" customWidth="1"/>
    <col min="12542" max="12542" width="12.7109375" style="1" customWidth="1"/>
    <col min="12543" max="12543" width="10.85546875" style="1" customWidth="1"/>
    <col min="12544" max="12544" width="9.5703125" style="1" customWidth="1"/>
    <col min="12545" max="12545" width="11.140625" style="1" customWidth="1"/>
    <col min="12546" max="12546" width="13.140625" style="1" customWidth="1"/>
    <col min="12547" max="12793" width="8.85546875" style="1"/>
    <col min="12794" max="12794" width="4.7109375" style="1" customWidth="1"/>
    <col min="12795" max="12795" width="53.5703125" style="1" customWidth="1"/>
    <col min="12796" max="12796" width="6.28515625" style="1" customWidth="1"/>
    <col min="12797" max="12797" width="8.28515625" style="1" customWidth="1"/>
    <col min="12798" max="12798" width="12.7109375" style="1" customWidth="1"/>
    <col min="12799" max="12799" width="10.85546875" style="1" customWidth="1"/>
    <col min="12800" max="12800" width="9.5703125" style="1" customWidth="1"/>
    <col min="12801" max="12801" width="11.140625" style="1" customWidth="1"/>
    <col min="12802" max="12802" width="13.140625" style="1" customWidth="1"/>
    <col min="12803" max="13049" width="8.85546875" style="1"/>
    <col min="13050" max="13050" width="4.7109375" style="1" customWidth="1"/>
    <col min="13051" max="13051" width="53.5703125" style="1" customWidth="1"/>
    <col min="13052" max="13052" width="6.28515625" style="1" customWidth="1"/>
    <col min="13053" max="13053" width="8.28515625" style="1" customWidth="1"/>
    <col min="13054" max="13054" width="12.7109375" style="1" customWidth="1"/>
    <col min="13055" max="13055" width="10.85546875" style="1" customWidth="1"/>
    <col min="13056" max="13056" width="9.5703125" style="1" customWidth="1"/>
    <col min="13057" max="13057" width="11.140625" style="1" customWidth="1"/>
    <col min="13058" max="13058" width="13.140625" style="1" customWidth="1"/>
    <col min="13059" max="13305" width="8.85546875" style="1"/>
    <col min="13306" max="13306" width="4.7109375" style="1" customWidth="1"/>
    <col min="13307" max="13307" width="53.5703125" style="1" customWidth="1"/>
    <col min="13308" max="13308" width="6.28515625" style="1" customWidth="1"/>
    <col min="13309" max="13309" width="8.28515625" style="1" customWidth="1"/>
    <col min="13310" max="13310" width="12.7109375" style="1" customWidth="1"/>
    <col min="13311" max="13311" width="10.85546875" style="1" customWidth="1"/>
    <col min="13312" max="13312" width="9.5703125" style="1" customWidth="1"/>
    <col min="13313" max="13313" width="11.140625" style="1" customWidth="1"/>
    <col min="13314" max="13314" width="13.140625" style="1" customWidth="1"/>
    <col min="13315" max="13561" width="8.85546875" style="1"/>
    <col min="13562" max="13562" width="4.7109375" style="1" customWidth="1"/>
    <col min="13563" max="13563" width="53.5703125" style="1" customWidth="1"/>
    <col min="13564" max="13564" width="6.28515625" style="1" customWidth="1"/>
    <col min="13565" max="13565" width="8.28515625" style="1" customWidth="1"/>
    <col min="13566" max="13566" width="12.7109375" style="1" customWidth="1"/>
    <col min="13567" max="13567" width="10.85546875" style="1" customWidth="1"/>
    <col min="13568" max="13568" width="9.5703125" style="1" customWidth="1"/>
    <col min="13569" max="13569" width="11.140625" style="1" customWidth="1"/>
    <col min="13570" max="13570" width="13.140625" style="1" customWidth="1"/>
    <col min="13571" max="13817" width="8.85546875" style="1"/>
    <col min="13818" max="13818" width="4.7109375" style="1" customWidth="1"/>
    <col min="13819" max="13819" width="53.5703125" style="1" customWidth="1"/>
    <col min="13820" max="13820" width="6.28515625" style="1" customWidth="1"/>
    <col min="13821" max="13821" width="8.28515625" style="1" customWidth="1"/>
    <col min="13822" max="13822" width="12.7109375" style="1" customWidth="1"/>
    <col min="13823" max="13823" width="10.85546875" style="1" customWidth="1"/>
    <col min="13824" max="13824" width="9.5703125" style="1" customWidth="1"/>
    <col min="13825" max="13825" width="11.140625" style="1" customWidth="1"/>
    <col min="13826" max="13826" width="13.140625" style="1" customWidth="1"/>
    <col min="13827" max="14073" width="8.85546875" style="1"/>
    <col min="14074" max="14074" width="4.7109375" style="1" customWidth="1"/>
    <col min="14075" max="14075" width="53.5703125" style="1" customWidth="1"/>
    <col min="14076" max="14076" width="6.28515625" style="1" customWidth="1"/>
    <col min="14077" max="14077" width="8.28515625" style="1" customWidth="1"/>
    <col min="14078" max="14078" width="12.7109375" style="1" customWidth="1"/>
    <col min="14079" max="14079" width="10.85546875" style="1" customWidth="1"/>
    <col min="14080" max="14080" width="9.5703125" style="1" customWidth="1"/>
    <col min="14081" max="14081" width="11.140625" style="1" customWidth="1"/>
    <col min="14082" max="14082" width="13.140625" style="1" customWidth="1"/>
    <col min="14083" max="14329" width="8.85546875" style="1"/>
    <col min="14330" max="14330" width="4.7109375" style="1" customWidth="1"/>
    <col min="14331" max="14331" width="53.5703125" style="1" customWidth="1"/>
    <col min="14332" max="14332" width="6.28515625" style="1" customWidth="1"/>
    <col min="14333" max="14333" width="8.28515625" style="1" customWidth="1"/>
    <col min="14334" max="14334" width="12.7109375" style="1" customWidth="1"/>
    <col min="14335" max="14335" width="10.85546875" style="1" customWidth="1"/>
    <col min="14336" max="14336" width="9.5703125" style="1" customWidth="1"/>
    <col min="14337" max="14337" width="11.140625" style="1" customWidth="1"/>
    <col min="14338" max="14338" width="13.140625" style="1" customWidth="1"/>
    <col min="14339" max="14585" width="8.85546875" style="1"/>
    <col min="14586" max="14586" width="4.7109375" style="1" customWidth="1"/>
    <col min="14587" max="14587" width="53.5703125" style="1" customWidth="1"/>
    <col min="14588" max="14588" width="6.28515625" style="1" customWidth="1"/>
    <col min="14589" max="14589" width="8.28515625" style="1" customWidth="1"/>
    <col min="14590" max="14590" width="12.7109375" style="1" customWidth="1"/>
    <col min="14591" max="14591" width="10.85546875" style="1" customWidth="1"/>
    <col min="14592" max="14592" width="9.5703125" style="1" customWidth="1"/>
    <col min="14593" max="14593" width="11.140625" style="1" customWidth="1"/>
    <col min="14594" max="14594" width="13.140625" style="1" customWidth="1"/>
    <col min="14595" max="14841" width="8.85546875" style="1"/>
    <col min="14842" max="14842" width="4.7109375" style="1" customWidth="1"/>
    <col min="14843" max="14843" width="53.5703125" style="1" customWidth="1"/>
    <col min="14844" max="14844" width="6.28515625" style="1" customWidth="1"/>
    <col min="14845" max="14845" width="8.28515625" style="1" customWidth="1"/>
    <col min="14846" max="14846" width="12.7109375" style="1" customWidth="1"/>
    <col min="14847" max="14847" width="10.85546875" style="1" customWidth="1"/>
    <col min="14848" max="14848" width="9.5703125" style="1" customWidth="1"/>
    <col min="14849" max="14849" width="11.140625" style="1" customWidth="1"/>
    <col min="14850" max="14850" width="13.140625" style="1" customWidth="1"/>
    <col min="14851" max="15097" width="8.85546875" style="1"/>
    <col min="15098" max="15098" width="4.7109375" style="1" customWidth="1"/>
    <col min="15099" max="15099" width="53.5703125" style="1" customWidth="1"/>
    <col min="15100" max="15100" width="6.28515625" style="1" customWidth="1"/>
    <col min="15101" max="15101" width="8.28515625" style="1" customWidth="1"/>
    <col min="15102" max="15102" width="12.7109375" style="1" customWidth="1"/>
    <col min="15103" max="15103" width="10.85546875" style="1" customWidth="1"/>
    <col min="15104" max="15104" width="9.5703125" style="1" customWidth="1"/>
    <col min="15105" max="15105" width="11.140625" style="1" customWidth="1"/>
    <col min="15106" max="15106" width="13.140625" style="1" customWidth="1"/>
    <col min="15107" max="15353" width="8.85546875" style="1"/>
    <col min="15354" max="15354" width="4.7109375" style="1" customWidth="1"/>
    <col min="15355" max="15355" width="53.5703125" style="1" customWidth="1"/>
    <col min="15356" max="15356" width="6.28515625" style="1" customWidth="1"/>
    <col min="15357" max="15357" width="8.28515625" style="1" customWidth="1"/>
    <col min="15358" max="15358" width="12.7109375" style="1" customWidth="1"/>
    <col min="15359" max="15359" width="10.85546875" style="1" customWidth="1"/>
    <col min="15360" max="15360" width="9.5703125" style="1" customWidth="1"/>
    <col min="15361" max="15361" width="11.140625" style="1" customWidth="1"/>
    <col min="15362" max="15362" width="13.140625" style="1" customWidth="1"/>
    <col min="15363" max="15609" width="8.85546875" style="1"/>
    <col min="15610" max="15610" width="4.7109375" style="1" customWidth="1"/>
    <col min="15611" max="15611" width="53.5703125" style="1" customWidth="1"/>
    <col min="15612" max="15612" width="6.28515625" style="1" customWidth="1"/>
    <col min="15613" max="15613" width="8.28515625" style="1" customWidth="1"/>
    <col min="15614" max="15614" width="12.7109375" style="1" customWidth="1"/>
    <col min="15615" max="15615" width="10.85546875" style="1" customWidth="1"/>
    <col min="15616" max="15616" width="9.5703125" style="1" customWidth="1"/>
    <col min="15617" max="15617" width="11.140625" style="1" customWidth="1"/>
    <col min="15618" max="15618" width="13.140625" style="1" customWidth="1"/>
    <col min="15619" max="15865" width="8.85546875" style="1"/>
    <col min="15866" max="15866" width="4.7109375" style="1" customWidth="1"/>
    <col min="15867" max="15867" width="53.5703125" style="1" customWidth="1"/>
    <col min="15868" max="15868" width="6.28515625" style="1" customWidth="1"/>
    <col min="15869" max="15869" width="8.28515625" style="1" customWidth="1"/>
    <col min="15870" max="15870" width="12.7109375" style="1" customWidth="1"/>
    <col min="15871" max="15871" width="10.85546875" style="1" customWidth="1"/>
    <col min="15872" max="15872" width="9.5703125" style="1" customWidth="1"/>
    <col min="15873" max="15873" width="11.140625" style="1" customWidth="1"/>
    <col min="15874" max="15874" width="13.140625" style="1" customWidth="1"/>
    <col min="15875" max="16121" width="8.85546875" style="1"/>
    <col min="16122" max="16122" width="4.7109375" style="1" customWidth="1"/>
    <col min="16123" max="16123" width="53.5703125" style="1" customWidth="1"/>
    <col min="16124" max="16124" width="6.28515625" style="1" customWidth="1"/>
    <col min="16125" max="16125" width="8.28515625" style="1" customWidth="1"/>
    <col min="16126" max="16126" width="12.7109375" style="1" customWidth="1"/>
    <col min="16127" max="16127" width="10.85546875" style="1" customWidth="1"/>
    <col min="16128" max="16128" width="9.5703125" style="1" customWidth="1"/>
    <col min="16129" max="16129" width="11.140625" style="1" customWidth="1"/>
    <col min="16130" max="16130" width="13.140625" style="1" customWidth="1"/>
    <col min="16131" max="16377" width="8.85546875" style="1"/>
    <col min="16378" max="16378" width="9.140625" style="1" customWidth="1"/>
    <col min="16379" max="16384" width="9.140625" style="1"/>
  </cols>
  <sheetData>
    <row r="1" spans="1:9" ht="6" customHeight="1">
      <c r="A1" s="522"/>
      <c r="B1" s="522"/>
      <c r="C1" s="522"/>
      <c r="D1" s="522"/>
      <c r="E1" s="522"/>
      <c r="F1" s="522"/>
      <c r="G1" s="522"/>
      <c r="H1" s="522"/>
    </row>
    <row r="2" spans="1:9" ht="15.75" customHeight="1">
      <c r="A2" s="523" t="s">
        <v>105</v>
      </c>
      <c r="B2" s="523"/>
      <c r="C2" s="523"/>
      <c r="D2" s="523"/>
      <c r="E2" s="523"/>
      <c r="F2" s="523"/>
      <c r="G2" s="523"/>
      <c r="H2" s="523"/>
    </row>
    <row r="3" spans="1:9" ht="9" customHeight="1">
      <c r="A3" s="315"/>
      <c r="B3" s="315"/>
      <c r="C3" s="315"/>
      <c r="D3" s="320"/>
      <c r="E3" s="110"/>
      <c r="F3" s="111"/>
      <c r="G3" s="111"/>
      <c r="H3" s="111"/>
    </row>
    <row r="4" spans="1:9" ht="12.75">
      <c r="A4" s="314"/>
      <c r="B4" s="67" t="s">
        <v>86</v>
      </c>
      <c r="C4" s="314"/>
      <c r="D4" s="112"/>
      <c r="E4" s="113"/>
      <c r="F4" s="114"/>
      <c r="G4" s="114"/>
      <c r="H4" s="114"/>
    </row>
    <row r="5" spans="1:9" ht="12.75">
      <c r="A5" s="314"/>
      <c r="B5" s="70" t="s">
        <v>0</v>
      </c>
      <c r="C5" s="115"/>
      <c r="D5" s="116"/>
      <c r="E5" s="117"/>
      <c r="F5" s="118"/>
      <c r="G5" s="114"/>
      <c r="H5" s="114"/>
    </row>
    <row r="6" spans="1:9" ht="12.75">
      <c r="A6" s="119"/>
      <c r="B6" s="70" t="s">
        <v>112</v>
      </c>
      <c r="C6" s="115"/>
      <c r="D6" s="120"/>
      <c r="E6" s="121"/>
      <c r="F6" s="122"/>
      <c r="G6" s="114"/>
      <c r="H6" s="114"/>
    </row>
    <row r="7" spans="1:9" ht="12.75">
      <c r="A7" s="314"/>
      <c r="B7" s="70" t="s">
        <v>281</v>
      </c>
      <c r="C7" s="115"/>
      <c r="D7" s="120"/>
      <c r="E7" s="121"/>
      <c r="F7" s="122"/>
      <c r="G7" s="114"/>
      <c r="H7" s="114"/>
    </row>
    <row r="8" spans="1:9" ht="12.75">
      <c r="A8" s="314"/>
      <c r="B8" s="70" t="s">
        <v>172</v>
      </c>
      <c r="C8" s="123"/>
      <c r="D8" s="120"/>
      <c r="E8" s="121"/>
      <c r="F8" s="122"/>
      <c r="G8" s="114"/>
      <c r="H8" s="114"/>
    </row>
    <row r="9" spans="1:9" ht="12.75">
      <c r="A9" s="314"/>
      <c r="B9" s="70" t="s">
        <v>87</v>
      </c>
      <c r="C9" s="115"/>
      <c r="D9" s="120"/>
      <c r="E9" s="121"/>
      <c r="F9" s="122"/>
      <c r="G9" s="114"/>
      <c r="H9" s="114"/>
    </row>
    <row r="10" spans="1:9" ht="12.75" customHeight="1">
      <c r="A10" s="124"/>
      <c r="B10" s="70" t="s">
        <v>460</v>
      </c>
      <c r="C10" s="125" t="s">
        <v>1</v>
      </c>
      <c r="D10" s="126">
        <v>0.25</v>
      </c>
      <c r="E10" s="127"/>
      <c r="F10" s="128"/>
      <c r="G10" s="128"/>
      <c r="H10" s="128"/>
    </row>
    <row r="11" spans="1:9" ht="7.5" customHeight="1">
      <c r="B11" s="69"/>
      <c r="C11" s="69"/>
      <c r="D11" s="69"/>
      <c r="E11" s="129"/>
      <c r="F11" s="130"/>
      <c r="G11" s="131"/>
      <c r="H11" s="131"/>
    </row>
    <row r="12" spans="1:9" s="15" customFormat="1" ht="12.75">
      <c r="A12" s="201" t="s">
        <v>2</v>
      </c>
      <c r="B12" s="201" t="s">
        <v>3</v>
      </c>
      <c r="C12" s="201" t="s">
        <v>4</v>
      </c>
      <c r="D12" s="202" t="s">
        <v>5</v>
      </c>
      <c r="E12" s="202" t="s">
        <v>5</v>
      </c>
      <c r="F12" s="202" t="s">
        <v>5</v>
      </c>
      <c r="G12" s="202" t="s">
        <v>5</v>
      </c>
      <c r="H12" s="202" t="s">
        <v>5</v>
      </c>
      <c r="I12" s="202" t="s">
        <v>107</v>
      </c>
    </row>
    <row r="13" spans="1:9" s="17" customFormat="1" ht="7.5" customHeight="1">
      <c r="A13" s="136"/>
      <c r="B13" s="137"/>
      <c r="C13" s="137"/>
      <c r="D13" s="203"/>
      <c r="E13" s="139"/>
      <c r="F13" s="140"/>
      <c r="G13" s="141"/>
      <c r="H13" s="142"/>
      <c r="I13" s="314"/>
    </row>
    <row r="14" spans="1:9" s="19" customFormat="1" ht="11.25" customHeight="1">
      <c r="A14" s="232" t="s">
        <v>9</v>
      </c>
      <c r="B14" s="216" t="s">
        <v>10</v>
      </c>
      <c r="C14" s="217"/>
      <c r="D14" s="218"/>
      <c r="E14" s="219"/>
      <c r="F14" s="219"/>
      <c r="G14" s="219"/>
      <c r="H14" s="219">
        <f>SUM(H15:H18)</f>
        <v>5550.98</v>
      </c>
      <c r="I14" s="220"/>
    </row>
    <row r="15" spans="1:9" s="51" customFormat="1" ht="11.25" customHeight="1">
      <c r="A15" s="221" t="s">
        <v>11</v>
      </c>
      <c r="B15" s="222" t="s">
        <v>89</v>
      </c>
      <c r="C15" s="221" t="s">
        <v>12</v>
      </c>
      <c r="D15" s="312">
        <v>6</v>
      </c>
      <c r="E15" s="224" t="s">
        <v>66</v>
      </c>
      <c r="F15" s="225">
        <v>285</v>
      </c>
      <c r="G15" s="226">
        <f t="shared" ref="G15:G18" si="0">F15*(1+$D$10)</f>
        <v>356.25</v>
      </c>
      <c r="H15" s="226">
        <f t="shared" ref="H15:H18" si="1">ROUND(D15*G15,2)</f>
        <v>2137.5</v>
      </c>
      <c r="I15" s="223" t="s">
        <v>108</v>
      </c>
    </row>
    <row r="16" spans="1:9" s="51" customFormat="1" ht="12.75">
      <c r="A16" s="221" t="s">
        <v>13</v>
      </c>
      <c r="B16" s="222" t="s">
        <v>149</v>
      </c>
      <c r="C16" s="228" t="s">
        <v>153</v>
      </c>
      <c r="D16" s="312">
        <v>3</v>
      </c>
      <c r="E16" s="224" t="s">
        <v>67</v>
      </c>
      <c r="F16" s="225">
        <v>304.07</v>
      </c>
      <c r="G16" s="226">
        <f t="shared" si="0"/>
        <v>380.08749999999998</v>
      </c>
      <c r="H16" s="226">
        <f t="shared" si="1"/>
        <v>1140.26</v>
      </c>
      <c r="I16" s="227" t="s">
        <v>154</v>
      </c>
    </row>
    <row r="17" spans="1:10" s="51" customFormat="1" ht="22.5" customHeight="1">
      <c r="A17" s="221" t="s">
        <v>14</v>
      </c>
      <c r="B17" s="222" t="s">
        <v>65</v>
      </c>
      <c r="C17" s="221" t="s">
        <v>12</v>
      </c>
      <c r="D17" s="312">
        <f>80*43.8</f>
        <v>3504</v>
      </c>
      <c r="E17" s="224" t="s">
        <v>68</v>
      </c>
      <c r="F17" s="225">
        <v>0.44</v>
      </c>
      <c r="G17" s="226">
        <f t="shared" si="0"/>
        <v>0.55000000000000004</v>
      </c>
      <c r="H17" s="226">
        <f t="shared" si="1"/>
        <v>1927.2</v>
      </c>
      <c r="I17" s="221" t="s">
        <v>254</v>
      </c>
    </row>
    <row r="18" spans="1:10" s="60" customFormat="1" ht="12.75">
      <c r="A18" s="221" t="s">
        <v>53</v>
      </c>
      <c r="B18" s="222" t="s">
        <v>464</v>
      </c>
      <c r="C18" s="228" t="s">
        <v>90</v>
      </c>
      <c r="D18" s="312">
        <f>D17*0.1</f>
        <v>350.40000000000003</v>
      </c>
      <c r="E18" s="224">
        <v>83444</v>
      </c>
      <c r="F18" s="225">
        <v>0.79</v>
      </c>
      <c r="G18" s="226">
        <f t="shared" si="0"/>
        <v>0.98750000000000004</v>
      </c>
      <c r="H18" s="226">
        <f t="shared" si="1"/>
        <v>346.02</v>
      </c>
      <c r="I18" s="221" t="s">
        <v>255</v>
      </c>
    </row>
    <row r="19" spans="1:10" s="17" customFormat="1" ht="9" customHeight="1">
      <c r="A19" s="137"/>
      <c r="B19" s="137"/>
      <c r="C19" s="137"/>
      <c r="D19" s="208"/>
      <c r="E19" s="164"/>
      <c r="F19" s="137"/>
      <c r="G19" s="141"/>
      <c r="H19" s="141"/>
      <c r="I19" s="204"/>
    </row>
    <row r="20" spans="1:10" s="17" customFormat="1" ht="12.75">
      <c r="A20" s="232" t="s">
        <v>15</v>
      </c>
      <c r="B20" s="216" t="s">
        <v>113</v>
      </c>
      <c r="C20" s="217"/>
      <c r="D20" s="218"/>
      <c r="E20" s="219"/>
      <c r="F20" s="219"/>
      <c r="G20" s="219"/>
      <c r="H20" s="219"/>
      <c r="I20" s="220"/>
    </row>
    <row r="21" spans="1:10" s="17" customFormat="1" ht="12.75">
      <c r="A21" s="221" t="s">
        <v>16</v>
      </c>
      <c r="B21" s="222" t="s">
        <v>69</v>
      </c>
      <c r="C21" s="221" t="s">
        <v>17</v>
      </c>
      <c r="D21" s="231">
        <f>205.2*0.3*0.3</f>
        <v>18.467999999999996</v>
      </c>
      <c r="E21" s="224">
        <v>73481</v>
      </c>
      <c r="F21" s="225">
        <v>26</v>
      </c>
      <c r="G21" s="226">
        <f t="shared" ref="G21" si="2">F21*(1+$D$10)</f>
        <v>32.5</v>
      </c>
      <c r="H21" s="226">
        <f>ROUND(D21*G21,2)</f>
        <v>600.21</v>
      </c>
      <c r="I21" s="221" t="s">
        <v>504</v>
      </c>
    </row>
    <row r="22" spans="1:10" s="17" customFormat="1" ht="33.75">
      <c r="A22" s="221" t="s">
        <v>18</v>
      </c>
      <c r="B22" s="222" t="s">
        <v>75</v>
      </c>
      <c r="C22" s="228" t="s">
        <v>489</v>
      </c>
      <c r="D22" s="223">
        <f>205.2*0.19</f>
        <v>38.988</v>
      </c>
      <c r="E22" s="224" t="s">
        <v>91</v>
      </c>
      <c r="F22" s="225">
        <v>318.47000000000003</v>
      </c>
      <c r="G22" s="226">
        <f>F22*(1+$D$10)</f>
        <v>398.08750000000003</v>
      </c>
      <c r="H22" s="226">
        <f t="shared" ref="H22:H24" si="3">ROUND(D22*G22,2)</f>
        <v>15520.64</v>
      </c>
      <c r="I22" s="221" t="s">
        <v>503</v>
      </c>
      <c r="J22" s="491"/>
    </row>
    <row r="23" spans="1:10" s="17" customFormat="1" ht="33.75">
      <c r="A23" s="221" t="s">
        <v>55</v>
      </c>
      <c r="B23" s="222" t="s">
        <v>119</v>
      </c>
      <c r="C23" s="221" t="s">
        <v>12</v>
      </c>
      <c r="D23" s="223">
        <f>(203.2*0.4)-4.59</f>
        <v>76.69</v>
      </c>
      <c r="E23" s="224" t="s">
        <v>72</v>
      </c>
      <c r="F23" s="225">
        <v>50.05</v>
      </c>
      <c r="G23" s="226">
        <f>F23*(1+$D$10)</f>
        <v>62.5625</v>
      </c>
      <c r="H23" s="226">
        <f t="shared" si="3"/>
        <v>4797.92</v>
      </c>
      <c r="I23" s="221" t="s">
        <v>482</v>
      </c>
    </row>
    <row r="24" spans="1:10" s="17" customFormat="1" ht="22.5">
      <c r="A24" s="221" t="s">
        <v>56</v>
      </c>
      <c r="B24" s="222" t="s">
        <v>71</v>
      </c>
      <c r="C24" s="228" t="s">
        <v>12</v>
      </c>
      <c r="D24" s="229">
        <f>(80+52)*2*2+(10.2*6.23)+(62.45*1.5)</f>
        <v>685.221</v>
      </c>
      <c r="E24" s="224" t="s">
        <v>83</v>
      </c>
      <c r="F24" s="225">
        <v>40.14</v>
      </c>
      <c r="G24" s="226">
        <f t="shared" ref="G24:G28" si="4">F24*(1+$D$10)</f>
        <v>50.174999999999997</v>
      </c>
      <c r="H24" s="226">
        <f t="shared" si="3"/>
        <v>34380.959999999999</v>
      </c>
      <c r="I24" s="489" t="s">
        <v>505</v>
      </c>
    </row>
    <row r="25" spans="1:10" s="17" customFormat="1" ht="12.75">
      <c r="A25" s="221" t="s">
        <v>556</v>
      </c>
      <c r="B25" s="222" t="s">
        <v>92</v>
      </c>
      <c r="C25" s="228" t="s">
        <v>12</v>
      </c>
      <c r="D25" s="229">
        <f>203.2*1.15</f>
        <v>233.67999999999998</v>
      </c>
      <c r="E25" s="224">
        <v>75481</v>
      </c>
      <c r="F25" s="225">
        <v>11.78</v>
      </c>
      <c r="G25" s="226">
        <f t="shared" si="4"/>
        <v>14.725</v>
      </c>
      <c r="H25" s="226" t="e">
        <f>ROUND(#REF!*G25,2)</f>
        <v>#REF!</v>
      </c>
      <c r="I25" s="221" t="s">
        <v>466</v>
      </c>
    </row>
    <row r="26" spans="1:10" s="314" customFormat="1" ht="12.75">
      <c r="A26" s="221" t="s">
        <v>135</v>
      </c>
      <c r="B26" s="222" t="s">
        <v>410</v>
      </c>
      <c r="C26" s="221" t="s">
        <v>12</v>
      </c>
      <c r="D26" s="223">
        <f>2*2.5</f>
        <v>5</v>
      </c>
      <c r="E26" s="224" t="s">
        <v>82</v>
      </c>
      <c r="F26" s="225">
        <v>617.83000000000004</v>
      </c>
      <c r="G26" s="226">
        <f t="shared" si="4"/>
        <v>772.28750000000002</v>
      </c>
      <c r="H26" s="226">
        <f>ROUND(D26*G26,2)</f>
        <v>3861.44</v>
      </c>
      <c r="I26" s="221" t="s">
        <v>506</v>
      </c>
    </row>
    <row r="27" spans="1:10" s="314" customFormat="1" ht="12.75">
      <c r="A27" s="221" t="s">
        <v>138</v>
      </c>
      <c r="B27" s="222" t="s">
        <v>467</v>
      </c>
      <c r="C27" s="221" t="s">
        <v>12</v>
      </c>
      <c r="D27" s="223">
        <f>D26</f>
        <v>5</v>
      </c>
      <c r="E27" s="224"/>
      <c r="F27" s="225"/>
      <c r="G27" s="226"/>
      <c r="H27" s="226"/>
      <c r="I27" s="221" t="s">
        <v>247</v>
      </c>
    </row>
    <row r="28" spans="1:10" s="17" customFormat="1" ht="12.75">
      <c r="A28" s="221" t="s">
        <v>139</v>
      </c>
      <c r="B28" s="222" t="s">
        <v>70</v>
      </c>
      <c r="C28" s="221" t="s">
        <v>17</v>
      </c>
      <c r="D28" s="223">
        <f>D24*0.1</f>
        <v>68.522100000000009</v>
      </c>
      <c r="E28" s="224" t="s">
        <v>74</v>
      </c>
      <c r="F28" s="225">
        <v>16.79</v>
      </c>
      <c r="G28" s="226">
        <f t="shared" si="4"/>
        <v>20.987499999999997</v>
      </c>
      <c r="H28" s="226">
        <f t="shared" ref="H28" si="5">ROUND(D28*G28,2)</f>
        <v>1438.11</v>
      </c>
      <c r="I28" s="489" t="s">
        <v>507</v>
      </c>
      <c r="J28" s="313"/>
    </row>
    <row r="29" spans="1:10" s="17" customFormat="1" ht="33.75">
      <c r="A29" s="221" t="s">
        <v>140</v>
      </c>
      <c r="B29" s="222" t="s">
        <v>469</v>
      </c>
      <c r="C29" s="228" t="s">
        <v>39</v>
      </c>
      <c r="D29" s="493">
        <v>480.30999000000003</v>
      </c>
      <c r="E29" s="224" t="s">
        <v>115</v>
      </c>
      <c r="F29" s="225">
        <v>42.48</v>
      </c>
      <c r="G29" s="226">
        <f t="shared" ref="G29" si="6">F29*(1+$D$10)</f>
        <v>53.099999999999994</v>
      </c>
      <c r="H29" s="226">
        <f t="shared" ref="H29" si="7">ROUND(D29*G29,2)</f>
        <v>25504.46</v>
      </c>
      <c r="I29" s="319" t="s">
        <v>522</v>
      </c>
    </row>
    <row r="30" spans="1:10" s="17" customFormat="1" ht="12.75">
      <c r="A30" s="221" t="s">
        <v>141</v>
      </c>
      <c r="B30" s="222" t="s">
        <v>118</v>
      </c>
      <c r="C30" s="228" t="s">
        <v>17</v>
      </c>
      <c r="D30" s="229">
        <f>(203.2*0.09*0.09)+(0.7*0.09*0.09*102)</f>
        <v>2.2242599999999997</v>
      </c>
      <c r="E30" s="224" t="s">
        <v>116</v>
      </c>
      <c r="F30" s="225">
        <v>43.48</v>
      </c>
      <c r="G30" s="226">
        <f t="shared" ref="G30" si="8">F30*(1+$D$10)</f>
        <v>54.349999999999994</v>
      </c>
      <c r="H30" s="226">
        <f t="shared" ref="H30" si="9">ROUND(D30*G30,2)</f>
        <v>120.89</v>
      </c>
      <c r="I30" s="227" t="s">
        <v>470</v>
      </c>
    </row>
    <row r="31" spans="1:10" s="17" customFormat="1" ht="33.75">
      <c r="A31" s="221" t="s">
        <v>142</v>
      </c>
      <c r="B31" s="222" t="s">
        <v>121</v>
      </c>
      <c r="C31" s="221" t="s">
        <v>12</v>
      </c>
      <c r="D31" s="229">
        <f>(202.6*2)+(3.5*6.33*4)+(40.3*3.5*2)</f>
        <v>775.92</v>
      </c>
      <c r="E31" s="224" t="s">
        <v>120</v>
      </c>
      <c r="F31" s="225">
        <v>44.48</v>
      </c>
      <c r="G31" s="226">
        <f t="shared" ref="G31" si="10">F31*(1+$D$10)</f>
        <v>55.599999999999994</v>
      </c>
      <c r="H31" s="226">
        <f t="shared" ref="H31" si="11">ROUND(D31*G31,2)</f>
        <v>43141.15</v>
      </c>
      <c r="I31" s="221" t="s">
        <v>493</v>
      </c>
    </row>
    <row r="32" spans="1:10" s="488" customFormat="1" ht="22.5">
      <c r="A32" s="221" t="s">
        <v>143</v>
      </c>
      <c r="B32" s="222" t="s">
        <v>492</v>
      </c>
      <c r="C32" s="221" t="s">
        <v>12</v>
      </c>
      <c r="D32" s="229">
        <v>232.77799999999999</v>
      </c>
      <c r="E32" s="224"/>
      <c r="F32" s="225"/>
      <c r="G32" s="226"/>
      <c r="H32" s="226"/>
      <c r="I32" s="221" t="s">
        <v>494</v>
      </c>
    </row>
    <row r="33" spans="1:9" s="17" customFormat="1" ht="12.75">
      <c r="A33" s="221" t="s">
        <v>416</v>
      </c>
      <c r="B33" s="494" t="s">
        <v>518</v>
      </c>
      <c r="C33" s="221" t="s">
        <v>12</v>
      </c>
      <c r="D33" s="229">
        <v>233.6799</v>
      </c>
      <c r="E33" s="224" t="s">
        <v>144</v>
      </c>
      <c r="F33" s="225">
        <v>46.48</v>
      </c>
      <c r="G33" s="226">
        <f t="shared" ref="G33" si="12">F33*(1+$D$10)</f>
        <v>58.099999999999994</v>
      </c>
      <c r="H33" s="226">
        <f t="shared" ref="H33" si="13">ROUND(D33*G33,2)</f>
        <v>13576.8</v>
      </c>
      <c r="I33" s="221" t="s">
        <v>466</v>
      </c>
    </row>
    <row r="34" spans="1:9" s="17" customFormat="1" ht="8.25" customHeight="1">
      <c r="A34" s="137"/>
      <c r="B34" s="137"/>
      <c r="C34" s="137"/>
      <c r="D34" s="208"/>
      <c r="E34" s="164"/>
      <c r="F34" s="137"/>
      <c r="G34" s="141"/>
      <c r="H34" s="141"/>
      <c r="I34" s="204"/>
    </row>
    <row r="35" spans="1:9" s="17" customFormat="1" ht="12.75">
      <c r="A35" s="215" t="s">
        <v>19</v>
      </c>
      <c r="B35" s="216" t="s">
        <v>133</v>
      </c>
      <c r="C35" s="217"/>
      <c r="D35" s="218"/>
      <c r="E35" s="219"/>
      <c r="F35" s="219"/>
      <c r="G35" s="219"/>
      <c r="H35" s="219"/>
      <c r="I35" s="220"/>
    </row>
    <row r="36" spans="1:9" s="17" customFormat="1" ht="12.75">
      <c r="A36" s="221" t="s">
        <v>20</v>
      </c>
      <c r="B36" s="222" t="s">
        <v>69</v>
      </c>
      <c r="C36" s="221" t="s">
        <v>17</v>
      </c>
      <c r="D36" s="230">
        <f>(28.07*3+1.2+1.2)*(0.4*0.4)*2</f>
        <v>27.71520000000001</v>
      </c>
      <c r="E36" s="224">
        <v>73481</v>
      </c>
      <c r="F36" s="225">
        <v>26</v>
      </c>
      <c r="G36" s="226">
        <f>F36*(1+$D$10)</f>
        <v>32.5</v>
      </c>
      <c r="H36" s="226">
        <f t="shared" ref="H36:H41" si="14">ROUND(D36*G36,2)</f>
        <v>900.74</v>
      </c>
      <c r="I36" s="227" t="s">
        <v>250</v>
      </c>
    </row>
    <row r="37" spans="1:9" s="17" customFormat="1" ht="33.75">
      <c r="A37" s="221" t="s">
        <v>21</v>
      </c>
      <c r="B37" s="222" t="s">
        <v>119</v>
      </c>
      <c r="C37" s="221" t="s">
        <v>12</v>
      </c>
      <c r="D37" s="230">
        <f>(28.07*0.6*2)+(28.07*1.05*4)+(1.2+1.2*1.05*4)</f>
        <v>157.81800000000001</v>
      </c>
      <c r="E37" s="224" t="s">
        <v>72</v>
      </c>
      <c r="F37" s="225">
        <v>50.05</v>
      </c>
      <c r="G37" s="226">
        <f>F37*(1+$D$10)</f>
        <v>62.5625</v>
      </c>
      <c r="H37" s="226">
        <f t="shared" si="14"/>
        <v>9873.49</v>
      </c>
      <c r="I37" s="319" t="s">
        <v>483</v>
      </c>
    </row>
    <row r="38" spans="1:9" s="488" customFormat="1" ht="12.75">
      <c r="A38" s="221" t="s">
        <v>22</v>
      </c>
      <c r="B38" s="222" t="s">
        <v>118</v>
      </c>
      <c r="C38" s="228" t="s">
        <v>17</v>
      </c>
      <c r="D38" s="229">
        <f>(1.1*0.09*0.09*39)</f>
        <v>0.34748999999999997</v>
      </c>
      <c r="E38" s="224" t="s">
        <v>116</v>
      </c>
      <c r="F38" s="225">
        <v>43.48</v>
      </c>
      <c r="G38" s="226">
        <f t="shared" ref="G38" si="15">F38*(1+$D$10)</f>
        <v>54.349999999999994</v>
      </c>
      <c r="H38" s="226">
        <f t="shared" si="14"/>
        <v>18.89</v>
      </c>
      <c r="I38" s="227" t="s">
        <v>470</v>
      </c>
    </row>
    <row r="39" spans="1:9" s="17" customFormat="1" ht="12.75">
      <c r="A39" s="221" t="s">
        <v>23</v>
      </c>
      <c r="B39" s="222" t="s">
        <v>70</v>
      </c>
      <c r="C39" s="221" t="s">
        <v>17</v>
      </c>
      <c r="D39" s="230">
        <f>(28.07*0.6*0.4)+(28.07*1.05*0.4)*2</f>
        <v>30.3156</v>
      </c>
      <c r="E39" s="224">
        <v>79488</v>
      </c>
      <c r="F39" s="225">
        <v>5.0599999999999996</v>
      </c>
      <c r="G39" s="226">
        <f t="shared" ref="G39:G41" si="16">F39*(1+$D$10)</f>
        <v>6.3249999999999993</v>
      </c>
      <c r="H39" s="226">
        <f t="shared" si="14"/>
        <v>191.75</v>
      </c>
      <c r="I39" s="227" t="s">
        <v>484</v>
      </c>
    </row>
    <row r="40" spans="1:9" s="17" customFormat="1" ht="22.5">
      <c r="A40" s="221" t="s">
        <v>24</v>
      </c>
      <c r="B40" s="222" t="s">
        <v>71</v>
      </c>
      <c r="C40" s="221" t="s">
        <v>17</v>
      </c>
      <c r="D40" s="230">
        <f>(28.07*0.6*4)+93.45</f>
        <v>160.81799999999998</v>
      </c>
      <c r="E40" s="224" t="s">
        <v>73</v>
      </c>
      <c r="F40" s="225">
        <v>23.72</v>
      </c>
      <c r="G40" s="226">
        <f t="shared" si="16"/>
        <v>29.65</v>
      </c>
      <c r="H40" s="226">
        <f t="shared" si="14"/>
        <v>4768.25</v>
      </c>
      <c r="I40" s="227" t="s">
        <v>508</v>
      </c>
    </row>
    <row r="41" spans="1:9" s="17" customFormat="1" ht="12.75">
      <c r="A41" s="221" t="s">
        <v>25</v>
      </c>
      <c r="B41" s="222" t="s">
        <v>92</v>
      </c>
      <c r="C41" s="228" t="s">
        <v>12</v>
      </c>
      <c r="D41" s="229">
        <f>(28.07*0.45*4)+(1.2*0.68)</f>
        <v>51.342000000000006</v>
      </c>
      <c r="E41" s="224">
        <v>75481</v>
      </c>
      <c r="F41" s="225">
        <v>11.78</v>
      </c>
      <c r="G41" s="226">
        <f t="shared" si="16"/>
        <v>14.725</v>
      </c>
      <c r="H41" s="226">
        <f t="shared" si="14"/>
        <v>756.01</v>
      </c>
      <c r="I41" s="227" t="s">
        <v>471</v>
      </c>
    </row>
    <row r="42" spans="1:9" s="17" customFormat="1" ht="12.75">
      <c r="A42" s="221" t="s">
        <v>557</v>
      </c>
      <c r="B42" s="494" t="s">
        <v>518</v>
      </c>
      <c r="C42" s="228" t="s">
        <v>12</v>
      </c>
      <c r="D42" s="230">
        <f>D41+D40</f>
        <v>212.16</v>
      </c>
      <c r="E42" s="224"/>
      <c r="F42" s="225"/>
      <c r="G42" s="226"/>
      <c r="H42" s="226"/>
      <c r="I42" s="227" t="s">
        <v>472</v>
      </c>
    </row>
    <row r="43" spans="1:9" s="51" customFormat="1" ht="9" customHeight="1">
      <c r="A43" s="205"/>
      <c r="B43" s="155"/>
      <c r="C43" s="205"/>
      <c r="D43" s="206"/>
      <c r="E43" s="158"/>
      <c r="F43" s="159"/>
      <c r="G43" s="107"/>
      <c r="H43" s="107"/>
      <c r="I43" s="207"/>
    </row>
    <row r="44" spans="1:9" s="51" customFormat="1" ht="11.25" customHeight="1">
      <c r="A44" s="232" t="s">
        <v>26</v>
      </c>
      <c r="B44" s="216" t="s">
        <v>134</v>
      </c>
      <c r="C44" s="217"/>
      <c r="D44" s="218"/>
      <c r="E44" s="219"/>
      <c r="F44" s="219"/>
      <c r="G44" s="219"/>
      <c r="H44" s="219"/>
      <c r="I44" s="220"/>
    </row>
    <row r="45" spans="1:9" s="51" customFormat="1" ht="11.25" customHeight="1">
      <c r="A45" s="221" t="s">
        <v>27</v>
      </c>
      <c r="B45" s="222" t="s">
        <v>69</v>
      </c>
      <c r="C45" s="221" t="s">
        <v>17</v>
      </c>
      <c r="D45" s="230">
        <f>(12*0.3*0.3)*2</f>
        <v>2.1599999999999997</v>
      </c>
      <c r="E45" s="224">
        <v>73481</v>
      </c>
      <c r="F45" s="225">
        <v>26</v>
      </c>
      <c r="G45" s="226">
        <f>F45*(1+$D$10)</f>
        <v>32.5</v>
      </c>
      <c r="H45" s="226">
        <f t="shared" ref="H45:H48" si="17">ROUND(D45*G45,2)</f>
        <v>70.2</v>
      </c>
      <c r="I45" s="227" t="s">
        <v>497</v>
      </c>
    </row>
    <row r="46" spans="1:9" s="51" customFormat="1" ht="11.25" customHeight="1">
      <c r="A46" s="221" t="s">
        <v>61</v>
      </c>
      <c r="B46" s="222" t="s">
        <v>119</v>
      </c>
      <c r="C46" s="221" t="s">
        <v>12</v>
      </c>
      <c r="D46" s="230">
        <f>(9.2*1.1)+(8*0.8)*2</f>
        <v>22.92</v>
      </c>
      <c r="E46" s="224" t="s">
        <v>72</v>
      </c>
      <c r="F46" s="225">
        <v>50.05</v>
      </c>
      <c r="G46" s="226">
        <f>F46*(1+$D$10)</f>
        <v>62.5625</v>
      </c>
      <c r="H46" s="226">
        <f t="shared" si="17"/>
        <v>1433.93</v>
      </c>
      <c r="I46" s="227" t="s">
        <v>248</v>
      </c>
    </row>
    <row r="47" spans="1:9" s="51" customFormat="1" ht="11.25" customHeight="1">
      <c r="A47" s="221" t="s">
        <v>62</v>
      </c>
      <c r="B47" s="222" t="s">
        <v>70</v>
      </c>
      <c r="C47" s="221" t="s">
        <v>17</v>
      </c>
      <c r="D47" s="230">
        <f>8*0.4*0.5*2</f>
        <v>3.2</v>
      </c>
      <c r="E47" s="224">
        <v>79488</v>
      </c>
      <c r="F47" s="225">
        <v>5.0599999999999996</v>
      </c>
      <c r="G47" s="226">
        <f t="shared" ref="G47:G48" si="18">F47*(1+$D$10)</f>
        <v>6.3249999999999993</v>
      </c>
      <c r="H47" s="226">
        <f t="shared" si="17"/>
        <v>20.239999999999998</v>
      </c>
      <c r="I47" s="227" t="s">
        <v>485</v>
      </c>
    </row>
    <row r="48" spans="1:9" s="51" customFormat="1" ht="11.25" customHeight="1">
      <c r="A48" s="221" t="s">
        <v>63</v>
      </c>
      <c r="B48" s="222" t="s">
        <v>71</v>
      </c>
      <c r="C48" s="221" t="s">
        <v>12</v>
      </c>
      <c r="D48" s="230">
        <f>(8*0.4)+(8*0.6)*2</f>
        <v>12.8</v>
      </c>
      <c r="E48" s="224" t="s">
        <v>73</v>
      </c>
      <c r="F48" s="225">
        <v>23.72</v>
      </c>
      <c r="G48" s="226">
        <f t="shared" si="18"/>
        <v>29.65</v>
      </c>
      <c r="H48" s="226">
        <f t="shared" si="17"/>
        <v>379.52</v>
      </c>
      <c r="I48" s="312" t="s">
        <v>498</v>
      </c>
    </row>
    <row r="49" spans="1:10" s="51" customFormat="1" ht="11.25" customHeight="1">
      <c r="A49" s="221" t="s">
        <v>64</v>
      </c>
      <c r="B49" s="222" t="s">
        <v>486</v>
      </c>
      <c r="C49" s="221"/>
      <c r="D49" s="230">
        <f>(8*0.65)+(0.6*0.25)+(1.8*0.7)*2</f>
        <v>7.870000000000001</v>
      </c>
      <c r="E49" s="224"/>
      <c r="F49" s="225"/>
      <c r="G49" s="226"/>
      <c r="H49" s="226"/>
      <c r="I49" s="312" t="s">
        <v>500</v>
      </c>
    </row>
    <row r="50" spans="1:10" s="51" customFormat="1" ht="11.25" customHeight="1">
      <c r="A50" s="221" t="s">
        <v>513</v>
      </c>
      <c r="B50" s="494" t="s">
        <v>518</v>
      </c>
      <c r="C50" s="221" t="s">
        <v>12</v>
      </c>
      <c r="D50" s="230">
        <f>D48+D49</f>
        <v>20.67</v>
      </c>
      <c r="E50" s="224"/>
      <c r="F50" s="225"/>
      <c r="G50" s="226"/>
      <c r="H50" s="226"/>
      <c r="I50" s="312" t="s">
        <v>499</v>
      </c>
    </row>
    <row r="51" spans="1:10" s="51" customFormat="1" ht="11.25" customHeight="1">
      <c r="A51" s="137"/>
      <c r="B51" s="137"/>
      <c r="C51" s="137"/>
      <c r="D51" s="208"/>
      <c r="E51" s="164"/>
      <c r="F51" s="137"/>
      <c r="G51" s="141"/>
      <c r="H51" s="141"/>
      <c r="I51" s="204"/>
    </row>
    <row r="52" spans="1:10" s="51" customFormat="1" ht="11.25" customHeight="1">
      <c r="A52" s="232" t="s">
        <v>28</v>
      </c>
      <c r="B52" s="216" t="s">
        <v>114</v>
      </c>
      <c r="C52" s="217"/>
      <c r="D52" s="218"/>
      <c r="E52" s="219"/>
      <c r="F52" s="219"/>
      <c r="G52" s="219"/>
      <c r="H52" s="219"/>
      <c r="I52" s="220"/>
    </row>
    <row r="53" spans="1:10" s="51" customFormat="1" ht="11.25" customHeight="1">
      <c r="A53" s="221" t="s">
        <v>29</v>
      </c>
      <c r="B53" s="222" t="s">
        <v>242</v>
      </c>
      <c r="C53" s="228" t="s">
        <v>59</v>
      </c>
      <c r="D53" s="229">
        <f>D54*0.2*0.2</f>
        <v>15.103199999999999</v>
      </c>
      <c r="E53" s="224">
        <v>83651</v>
      </c>
      <c r="F53" s="225">
        <v>21.41</v>
      </c>
      <c r="G53" s="226">
        <f t="shared" ref="G53:G67" si="19">F53*(1+$D$10)</f>
        <v>26.762499999999999</v>
      </c>
      <c r="H53" s="226">
        <f t="shared" ref="H53:H67" si="20">ROUND(D53*G53,2)</f>
        <v>404.2</v>
      </c>
      <c r="I53" s="227" t="s">
        <v>496</v>
      </c>
    </row>
    <row r="54" spans="1:10" s="51" customFormat="1" ht="11.25" customHeight="1">
      <c r="A54" s="221" t="s">
        <v>30</v>
      </c>
      <c r="B54" s="222" t="s">
        <v>137</v>
      </c>
      <c r="C54" s="228" t="s">
        <v>39</v>
      </c>
      <c r="D54" s="229">
        <f>(10.7*8*3)+(40.26*3)</f>
        <v>377.57999999999993</v>
      </c>
      <c r="E54" s="224">
        <v>83651</v>
      </c>
      <c r="F54" s="225">
        <v>21.41</v>
      </c>
      <c r="G54" s="226">
        <f t="shared" ref="G54" si="21">F54*(1+$D$10)</f>
        <v>26.762499999999999</v>
      </c>
      <c r="H54" s="226">
        <f t="shared" ref="H54" si="22">ROUND(D54*G54,2)</f>
        <v>10104.98</v>
      </c>
      <c r="I54" s="227" t="s">
        <v>249</v>
      </c>
    </row>
    <row r="55" spans="1:10" s="51" customFormat="1" ht="11.25" customHeight="1">
      <c r="A55" s="221" t="s">
        <v>31</v>
      </c>
      <c r="B55" s="149" t="s">
        <v>245</v>
      </c>
      <c r="C55" s="228" t="s">
        <v>489</v>
      </c>
      <c r="D55" s="229">
        <f>(377.58*0.2*0.2)-(0.008*377.58)</f>
        <v>12.082560000000001</v>
      </c>
      <c r="E55" s="224"/>
      <c r="F55" s="225"/>
      <c r="G55" s="226"/>
      <c r="H55" s="226"/>
      <c r="I55" s="227" t="s">
        <v>521</v>
      </c>
    </row>
    <row r="56" spans="1:10" s="51" customFormat="1" ht="11.25" customHeight="1">
      <c r="A56" s="221" t="s">
        <v>32</v>
      </c>
      <c r="B56" s="222" t="s">
        <v>93</v>
      </c>
      <c r="C56" s="228" t="s">
        <v>12</v>
      </c>
      <c r="D56" s="229">
        <f>377.58*0.6</f>
        <v>226.54799999999997</v>
      </c>
      <c r="E56" s="224">
        <v>83665</v>
      </c>
      <c r="F56" s="225">
        <v>7.52</v>
      </c>
      <c r="G56" s="226">
        <f t="shared" si="19"/>
        <v>9.3999999999999986</v>
      </c>
      <c r="H56" s="226">
        <f t="shared" si="20"/>
        <v>2129.5500000000002</v>
      </c>
      <c r="I56" s="227" t="s">
        <v>487</v>
      </c>
    </row>
    <row r="57" spans="1:10" s="51" customFormat="1" ht="11.25" customHeight="1">
      <c r="A57" s="221" t="s">
        <v>33</v>
      </c>
      <c r="B57" s="222" t="s">
        <v>477</v>
      </c>
      <c r="C57" s="228" t="s">
        <v>54</v>
      </c>
      <c r="D57" s="229">
        <v>27</v>
      </c>
      <c r="E57" s="224"/>
      <c r="F57" s="225"/>
      <c r="G57" s="226"/>
      <c r="H57" s="226"/>
      <c r="I57" s="227" t="s">
        <v>109</v>
      </c>
      <c r="J57" s="51" t="s">
        <v>488</v>
      </c>
    </row>
    <row r="58" spans="1:10" s="51" customFormat="1" ht="11.25" customHeight="1">
      <c r="A58" s="221" t="s">
        <v>34</v>
      </c>
      <c r="B58" s="222" t="s">
        <v>479</v>
      </c>
      <c r="C58" s="228" t="s">
        <v>54</v>
      </c>
      <c r="D58" s="229">
        <v>12</v>
      </c>
      <c r="E58" s="224"/>
      <c r="F58" s="225"/>
      <c r="G58" s="226"/>
      <c r="H58" s="226"/>
      <c r="I58" s="227" t="s">
        <v>109</v>
      </c>
    </row>
    <row r="59" spans="1:10" s="51" customFormat="1" ht="11.25" customHeight="1">
      <c r="A59" s="221" t="s">
        <v>123</v>
      </c>
      <c r="B59" s="222" t="s">
        <v>354</v>
      </c>
      <c r="C59" s="228" t="s">
        <v>39</v>
      </c>
      <c r="D59" s="229">
        <v>6</v>
      </c>
      <c r="E59" s="224" t="s">
        <v>94</v>
      </c>
      <c r="F59" s="225">
        <v>3.23</v>
      </c>
      <c r="G59" s="226">
        <f t="shared" si="19"/>
        <v>4.0374999999999996</v>
      </c>
      <c r="H59" s="226">
        <f t="shared" si="20"/>
        <v>24.23</v>
      </c>
      <c r="I59" s="227" t="s">
        <v>109</v>
      </c>
    </row>
    <row r="60" spans="1:10" s="51" customFormat="1" ht="11.25" customHeight="1">
      <c r="A60" s="221" t="s">
        <v>124</v>
      </c>
      <c r="B60" s="222" t="s">
        <v>145</v>
      </c>
      <c r="C60" s="228" t="s">
        <v>54</v>
      </c>
      <c r="D60" s="229">
        <v>1</v>
      </c>
      <c r="E60" s="224" t="s">
        <v>84</v>
      </c>
      <c r="F60" s="225">
        <v>3377.55</v>
      </c>
      <c r="G60" s="226">
        <f t="shared" si="19"/>
        <v>4221.9375</v>
      </c>
      <c r="H60" s="226">
        <f t="shared" si="20"/>
        <v>4221.9399999999996</v>
      </c>
      <c r="I60" s="227" t="s">
        <v>109</v>
      </c>
    </row>
    <row r="61" spans="1:10" s="51" customFormat="1" ht="33.75">
      <c r="A61" s="221" t="s">
        <v>246</v>
      </c>
      <c r="B61" s="222" t="s">
        <v>514</v>
      </c>
      <c r="C61" s="228" t="s">
        <v>39</v>
      </c>
      <c r="D61" s="229">
        <v>52</v>
      </c>
      <c r="E61" s="224" t="s">
        <v>103</v>
      </c>
      <c r="F61" s="225">
        <v>55.46</v>
      </c>
      <c r="G61" s="226">
        <f t="shared" si="19"/>
        <v>69.325000000000003</v>
      </c>
      <c r="H61" s="226">
        <f t="shared" si="20"/>
        <v>3604.9</v>
      </c>
      <c r="I61" s="332">
        <v>52</v>
      </c>
    </row>
    <row r="62" spans="1:10" s="51" customFormat="1" ht="12.75">
      <c r="A62" s="221" t="s">
        <v>125</v>
      </c>
      <c r="B62" s="222" t="s">
        <v>516</v>
      </c>
      <c r="C62" s="228" t="s">
        <v>489</v>
      </c>
      <c r="D62" s="229">
        <f>52*0.7</f>
        <v>36.4</v>
      </c>
      <c r="E62" s="224"/>
      <c r="F62" s="225"/>
      <c r="G62" s="226"/>
      <c r="H62" s="226"/>
      <c r="I62" s="332" t="s">
        <v>517</v>
      </c>
    </row>
    <row r="63" spans="1:10" s="51" customFormat="1" ht="11.25" customHeight="1">
      <c r="A63" s="221" t="s">
        <v>478</v>
      </c>
      <c r="B63" s="222" t="s">
        <v>95</v>
      </c>
      <c r="C63" s="228" t="s">
        <v>17</v>
      </c>
      <c r="D63" s="229">
        <f>D67*0.15</f>
        <v>390.59999999999997</v>
      </c>
      <c r="E63" s="224" t="s">
        <v>96</v>
      </c>
      <c r="F63" s="225">
        <v>7.34</v>
      </c>
      <c r="G63" s="226">
        <f t="shared" si="19"/>
        <v>9.1750000000000007</v>
      </c>
      <c r="H63" s="226">
        <f t="shared" si="20"/>
        <v>3583.76</v>
      </c>
      <c r="I63" s="227" t="s">
        <v>257</v>
      </c>
    </row>
    <row r="64" spans="1:10" s="51" customFormat="1" ht="11.25" customHeight="1">
      <c r="A64" s="221" t="s">
        <v>480</v>
      </c>
      <c r="B64" s="222" t="s">
        <v>555</v>
      </c>
      <c r="C64" s="228" t="s">
        <v>90</v>
      </c>
      <c r="D64" s="312">
        <f>D18</f>
        <v>350.40000000000003</v>
      </c>
      <c r="E64" s="224">
        <v>83444</v>
      </c>
      <c r="F64" s="225">
        <v>0.79</v>
      </c>
      <c r="G64" s="226">
        <f t="shared" si="19"/>
        <v>0.98750000000000004</v>
      </c>
      <c r="H64" s="226">
        <f t="shared" si="20"/>
        <v>346.02</v>
      </c>
      <c r="I64" s="221" t="s">
        <v>255</v>
      </c>
    </row>
    <row r="65" spans="1:9" s="51" customFormat="1" ht="11.25" customHeight="1">
      <c r="A65" s="221" t="s">
        <v>481</v>
      </c>
      <c r="B65" s="316" t="s">
        <v>243</v>
      </c>
      <c r="C65" s="221" t="s">
        <v>12</v>
      </c>
      <c r="D65" s="312">
        <f>D17</f>
        <v>3504</v>
      </c>
      <c r="E65" s="224"/>
      <c r="F65" s="225"/>
      <c r="G65" s="226"/>
      <c r="H65" s="226"/>
      <c r="I65" s="221" t="s">
        <v>254</v>
      </c>
    </row>
    <row r="66" spans="1:9" s="51" customFormat="1" ht="11.25" customHeight="1">
      <c r="A66" s="221" t="s">
        <v>495</v>
      </c>
      <c r="B66" s="222" t="s">
        <v>97</v>
      </c>
      <c r="C66" s="228" t="s">
        <v>12</v>
      </c>
      <c r="D66" s="229">
        <f>D67/10000</f>
        <v>0.26040000000000002</v>
      </c>
      <c r="E66" s="224">
        <v>85187</v>
      </c>
      <c r="F66" s="225">
        <v>3.5000000000000003E-2</v>
      </c>
      <c r="G66" s="226">
        <f t="shared" si="19"/>
        <v>4.3750000000000004E-2</v>
      </c>
      <c r="H66" s="226">
        <f t="shared" si="20"/>
        <v>0.01</v>
      </c>
      <c r="I66" s="227" t="s">
        <v>109</v>
      </c>
    </row>
    <row r="67" spans="1:9" s="51" customFormat="1" ht="11.25" customHeight="1">
      <c r="A67" s="221" t="s">
        <v>558</v>
      </c>
      <c r="B67" s="222" t="s">
        <v>110</v>
      </c>
      <c r="C67" s="228" t="s">
        <v>12</v>
      </c>
      <c r="D67" s="229">
        <f>62*42</f>
        <v>2604</v>
      </c>
      <c r="E67" s="224">
        <v>85180</v>
      </c>
      <c r="F67" s="225">
        <v>4.51</v>
      </c>
      <c r="G67" s="226">
        <f t="shared" si="19"/>
        <v>5.6374999999999993</v>
      </c>
      <c r="H67" s="226">
        <f t="shared" si="20"/>
        <v>14680.05</v>
      </c>
      <c r="I67" s="227" t="s">
        <v>256</v>
      </c>
    </row>
    <row r="68" spans="1:9" s="51" customFormat="1" ht="6.75" customHeight="1">
      <c r="A68" s="205"/>
      <c r="B68" s="155"/>
      <c r="C68" s="205"/>
      <c r="D68" s="206"/>
      <c r="E68" s="158"/>
      <c r="F68" s="159"/>
      <c r="G68" s="107"/>
      <c r="H68" s="107"/>
      <c r="I68" s="207"/>
    </row>
    <row r="69" spans="1:9" s="19" customFormat="1" ht="11.25" customHeight="1">
      <c r="A69" s="232" t="s">
        <v>35</v>
      </c>
      <c r="B69" s="216" t="s">
        <v>104</v>
      </c>
      <c r="C69" s="217"/>
      <c r="D69" s="218"/>
      <c r="E69" s="219"/>
      <c r="F69" s="219"/>
      <c r="G69" s="219"/>
      <c r="H69" s="219"/>
      <c r="I69" s="220"/>
    </row>
    <row r="70" spans="1:9" s="51" customFormat="1" ht="22.5">
      <c r="A70" s="221" t="s">
        <v>36</v>
      </c>
      <c r="B70" s="222" t="s">
        <v>242</v>
      </c>
      <c r="C70" s="228" t="s">
        <v>59</v>
      </c>
      <c r="D70" s="229">
        <f>D79*0.1*0.15</f>
        <v>2.5950000000000002</v>
      </c>
      <c r="E70" s="224">
        <v>78018</v>
      </c>
      <c r="F70" s="225">
        <v>24.36</v>
      </c>
      <c r="G70" s="226">
        <f>F70*(1+$D$10)</f>
        <v>30.45</v>
      </c>
      <c r="H70" s="226">
        <f>ROUND(D70*G70,2)</f>
        <v>79.02</v>
      </c>
      <c r="I70" s="227" t="s">
        <v>476</v>
      </c>
    </row>
    <row r="71" spans="1:9" s="60" customFormat="1" ht="22.5">
      <c r="A71" s="221" t="s">
        <v>58</v>
      </c>
      <c r="B71" s="222" t="s">
        <v>81</v>
      </c>
      <c r="C71" s="228" t="s">
        <v>54</v>
      </c>
      <c r="D71" s="229">
        <v>5</v>
      </c>
      <c r="E71" s="224" t="s">
        <v>80</v>
      </c>
      <c r="F71" s="225">
        <v>157</v>
      </c>
      <c r="G71" s="226">
        <f t="shared" ref="G71:G78" si="23">F71*(1+$D$10)</f>
        <v>196.25</v>
      </c>
      <c r="H71" s="226">
        <f t="shared" ref="H71:H78" si="24">ROUND(D71*G71,2)</f>
        <v>981.25</v>
      </c>
      <c r="I71" s="227" t="s">
        <v>109</v>
      </c>
    </row>
    <row r="72" spans="1:9" s="51" customFormat="1" ht="12.75">
      <c r="A72" s="221" t="s">
        <v>126</v>
      </c>
      <c r="B72" s="222" t="s">
        <v>79</v>
      </c>
      <c r="C72" s="228" t="s">
        <v>54</v>
      </c>
      <c r="D72" s="229">
        <v>1</v>
      </c>
      <c r="E72" s="224">
        <v>73663</v>
      </c>
      <c r="F72" s="225">
        <v>76.849999999999994</v>
      </c>
      <c r="G72" s="226">
        <f t="shared" si="23"/>
        <v>96.0625</v>
      </c>
      <c r="H72" s="226">
        <f t="shared" si="24"/>
        <v>96.06</v>
      </c>
      <c r="I72" s="227" t="s">
        <v>109</v>
      </c>
    </row>
    <row r="73" spans="1:9" s="51" customFormat="1" ht="22.5">
      <c r="A73" s="221" t="s">
        <v>127</v>
      </c>
      <c r="B73" s="222" t="s">
        <v>76</v>
      </c>
      <c r="C73" s="228" t="s">
        <v>54</v>
      </c>
      <c r="D73" s="229">
        <v>2</v>
      </c>
      <c r="E73" s="224">
        <v>73665</v>
      </c>
      <c r="F73" s="225">
        <v>4.4400000000000004</v>
      </c>
      <c r="G73" s="226">
        <f t="shared" si="23"/>
        <v>5.5500000000000007</v>
      </c>
      <c r="H73" s="226">
        <f t="shared" si="24"/>
        <v>11.1</v>
      </c>
      <c r="I73" s="227" t="s">
        <v>109</v>
      </c>
    </row>
    <row r="74" spans="1:9" s="51" customFormat="1" ht="22.5">
      <c r="A74" s="221" t="s">
        <v>128</v>
      </c>
      <c r="B74" s="222" t="s">
        <v>78</v>
      </c>
      <c r="C74" s="228" t="s">
        <v>54</v>
      </c>
      <c r="D74" s="229">
        <v>2</v>
      </c>
      <c r="E74" s="224">
        <v>89395</v>
      </c>
      <c r="F74" s="225">
        <v>6.25</v>
      </c>
      <c r="G74" s="226">
        <f t="shared" si="23"/>
        <v>7.8125</v>
      </c>
      <c r="H74" s="226">
        <f t="shared" si="24"/>
        <v>15.63</v>
      </c>
      <c r="I74" s="227" t="s">
        <v>109</v>
      </c>
    </row>
    <row r="75" spans="1:9" s="51" customFormat="1" ht="12.75">
      <c r="A75" s="221" t="s">
        <v>129</v>
      </c>
      <c r="B75" s="149" t="s">
        <v>251</v>
      </c>
      <c r="C75" s="228" t="s">
        <v>54</v>
      </c>
      <c r="D75" s="229">
        <v>2</v>
      </c>
      <c r="E75" s="224"/>
      <c r="F75" s="225"/>
      <c r="G75" s="226"/>
      <c r="H75" s="226"/>
      <c r="I75" s="227" t="s">
        <v>109</v>
      </c>
    </row>
    <row r="76" spans="1:9" s="51" customFormat="1" ht="22.5">
      <c r="A76" s="221" t="s">
        <v>146</v>
      </c>
      <c r="B76" s="222" t="s">
        <v>252</v>
      </c>
      <c r="C76" s="228" t="s">
        <v>54</v>
      </c>
      <c r="D76" s="229">
        <v>2</v>
      </c>
      <c r="E76" s="224"/>
      <c r="F76" s="225"/>
      <c r="G76" s="226"/>
      <c r="H76" s="226"/>
      <c r="I76" s="227" t="s">
        <v>109</v>
      </c>
    </row>
    <row r="77" spans="1:9" s="51" customFormat="1" ht="22.5">
      <c r="A77" s="221" t="s">
        <v>269</v>
      </c>
      <c r="B77" s="222" t="s">
        <v>474</v>
      </c>
      <c r="C77" s="228" t="s">
        <v>54</v>
      </c>
      <c r="D77" s="229">
        <v>2</v>
      </c>
      <c r="E77" s="224"/>
      <c r="F77" s="225"/>
      <c r="G77" s="226"/>
      <c r="H77" s="226"/>
      <c r="I77" s="227" t="s">
        <v>109</v>
      </c>
    </row>
    <row r="78" spans="1:9" s="51" customFormat="1" ht="12.75">
      <c r="A78" s="221" t="s">
        <v>270</v>
      </c>
      <c r="B78" s="222" t="s">
        <v>147</v>
      </c>
      <c r="C78" s="228" t="s">
        <v>54</v>
      </c>
      <c r="D78" s="229">
        <v>4</v>
      </c>
      <c r="E78" s="224">
        <v>89402</v>
      </c>
      <c r="F78" s="225">
        <v>5.22</v>
      </c>
      <c r="G78" s="226">
        <f t="shared" si="23"/>
        <v>6.5249999999999995</v>
      </c>
      <c r="H78" s="226">
        <f t="shared" si="24"/>
        <v>26.1</v>
      </c>
      <c r="I78" s="227" t="s">
        <v>109</v>
      </c>
    </row>
    <row r="79" spans="1:9" s="51" customFormat="1" ht="22.5">
      <c r="A79" s="221" t="s">
        <v>475</v>
      </c>
      <c r="B79" s="222" t="s">
        <v>77</v>
      </c>
      <c r="C79" s="228" t="s">
        <v>60</v>
      </c>
      <c r="D79" s="229">
        <v>173</v>
      </c>
      <c r="E79" s="224">
        <v>89402</v>
      </c>
      <c r="F79" s="225">
        <v>5.22</v>
      </c>
      <c r="G79" s="226">
        <f t="shared" ref="G79" si="25">F79*(1+$D$10)</f>
        <v>6.5249999999999995</v>
      </c>
      <c r="H79" s="226">
        <f t="shared" ref="H79" si="26">ROUND(D79*G79,2)</f>
        <v>1128.83</v>
      </c>
      <c r="I79" s="227" t="s">
        <v>109</v>
      </c>
    </row>
    <row r="80" spans="1:9" s="51" customFormat="1" ht="6.75" customHeight="1">
      <c r="A80" s="205"/>
      <c r="B80" s="155"/>
      <c r="C80" s="156"/>
      <c r="D80" s="209"/>
      <c r="E80" s="158"/>
      <c r="F80" s="159"/>
      <c r="G80" s="107"/>
      <c r="H80" s="107"/>
      <c r="I80" s="205"/>
    </row>
    <row r="81" spans="1:9" s="51" customFormat="1" ht="12.75">
      <c r="A81" s="232" t="s">
        <v>37</v>
      </c>
      <c r="B81" s="216" t="s">
        <v>258</v>
      </c>
      <c r="C81" s="217"/>
      <c r="D81" s="218"/>
      <c r="E81" s="219"/>
      <c r="F81" s="219"/>
      <c r="G81" s="219"/>
      <c r="H81" s="219"/>
      <c r="I81" s="220"/>
    </row>
    <row r="82" spans="1:9" s="51" customFormat="1" ht="22.5">
      <c r="A82" s="221" t="s">
        <v>38</v>
      </c>
      <c r="B82" s="222" t="s">
        <v>242</v>
      </c>
      <c r="C82" s="221" t="s">
        <v>17</v>
      </c>
      <c r="D82" s="223">
        <f>10*0.3*0.2*2</f>
        <v>1.2000000000000002</v>
      </c>
      <c r="E82" s="224">
        <v>87249</v>
      </c>
      <c r="F82" s="225">
        <v>36.200000000000003</v>
      </c>
      <c r="G82" s="226">
        <f t="shared" ref="G82" si="27">F82*(1+$D$10)</f>
        <v>45.25</v>
      </c>
      <c r="H82" s="226">
        <f>ROUND(D82*G82,2)</f>
        <v>54.3</v>
      </c>
      <c r="I82" s="227" t="s">
        <v>511</v>
      </c>
    </row>
    <row r="83" spans="1:9" s="51" customFormat="1" ht="12.75">
      <c r="A83" s="221" t="s">
        <v>38</v>
      </c>
      <c r="B83" s="222" t="s">
        <v>512</v>
      </c>
      <c r="C83" s="221" t="s">
        <v>489</v>
      </c>
      <c r="D83" s="223">
        <f>10*0.3</f>
        <v>3</v>
      </c>
      <c r="E83" s="224">
        <v>87249</v>
      </c>
      <c r="F83" s="225">
        <v>36.200000000000003</v>
      </c>
      <c r="G83" s="226">
        <f t="shared" ref="G83" si="28">F83*(1+$D$10)</f>
        <v>45.25</v>
      </c>
      <c r="H83" s="226">
        <f>ROUND(D83*G83,2)</f>
        <v>135.75</v>
      </c>
      <c r="I83" s="227" t="s">
        <v>519</v>
      </c>
    </row>
    <row r="84" spans="1:9" s="51" customFormat="1" ht="12.75">
      <c r="A84" s="221" t="s">
        <v>510</v>
      </c>
      <c r="B84" s="222" t="s">
        <v>259</v>
      </c>
      <c r="C84" s="221" t="s">
        <v>17</v>
      </c>
      <c r="D84" s="223">
        <f>10*18*0.2</f>
        <v>36</v>
      </c>
      <c r="E84" s="224">
        <v>87249</v>
      </c>
      <c r="F84" s="225">
        <v>36.200000000000003</v>
      </c>
      <c r="G84" s="226">
        <f t="shared" ref="G84" si="29">F84*(1+$D$10)</f>
        <v>45.25</v>
      </c>
      <c r="H84" s="226">
        <f>ROUND(D84*G84,2)</f>
        <v>1629</v>
      </c>
      <c r="I84" s="227" t="s">
        <v>509</v>
      </c>
    </row>
    <row r="85" spans="1:9" s="51" customFormat="1" ht="9" customHeight="1">
      <c r="A85" s="205"/>
      <c r="B85" s="155"/>
      <c r="C85" s="156"/>
      <c r="D85" s="209"/>
      <c r="E85" s="158"/>
      <c r="F85" s="159"/>
      <c r="G85" s="107"/>
      <c r="H85" s="107"/>
      <c r="I85" s="205"/>
    </row>
    <row r="86" spans="1:9" s="51" customFormat="1" ht="12.75">
      <c r="A86" s="232" t="s">
        <v>130</v>
      </c>
      <c r="B86" s="216" t="s">
        <v>98</v>
      </c>
      <c r="C86" s="217"/>
      <c r="D86" s="218"/>
      <c r="E86" s="219"/>
      <c r="F86" s="219"/>
      <c r="G86" s="219"/>
      <c r="H86" s="219"/>
      <c r="I86" s="220"/>
    </row>
    <row r="87" spans="1:9" s="51" customFormat="1" ht="12.75">
      <c r="A87" s="221" t="s">
        <v>131</v>
      </c>
      <c r="B87" s="222" t="s">
        <v>99</v>
      </c>
      <c r="C87" s="221" t="s">
        <v>12</v>
      </c>
      <c r="D87" s="223">
        <f>(30.74+30.74+11.43+9.75+9.75+3)*0.25</f>
        <v>23.852499999999999</v>
      </c>
      <c r="E87" s="224">
        <v>87249</v>
      </c>
      <c r="F87" s="225">
        <v>36.200000000000003</v>
      </c>
      <c r="G87" s="226">
        <f t="shared" ref="G87:G94" si="30">F87*(1+$D$10)</f>
        <v>45.25</v>
      </c>
      <c r="H87" s="226">
        <f>ROUND(D87*G87,2)</f>
        <v>1079.33</v>
      </c>
      <c r="I87" s="227" t="s">
        <v>490</v>
      </c>
    </row>
    <row r="88" spans="1:9" s="51" customFormat="1" ht="12.75">
      <c r="A88" s="205"/>
      <c r="B88" s="155"/>
      <c r="C88" s="205"/>
      <c r="D88" s="335"/>
      <c r="E88" s="158"/>
      <c r="F88" s="159"/>
      <c r="G88" s="107"/>
      <c r="H88" s="107"/>
      <c r="I88" s="207"/>
    </row>
    <row r="89" spans="1:9" s="51" customFormat="1" ht="12.75">
      <c r="A89" s="232" t="s">
        <v>260</v>
      </c>
      <c r="B89" s="216" t="s">
        <v>262</v>
      </c>
      <c r="C89" s="217"/>
      <c r="D89" s="218"/>
      <c r="E89" s="219"/>
      <c r="F89" s="219"/>
      <c r="G89" s="219"/>
      <c r="H89" s="219"/>
      <c r="I89" s="220"/>
    </row>
    <row r="90" spans="1:9" s="51" customFormat="1" ht="12.75">
      <c r="A90" s="221" t="s">
        <v>261</v>
      </c>
      <c r="B90" s="336" t="s">
        <v>473</v>
      </c>
      <c r="C90" s="221" t="s">
        <v>54</v>
      </c>
      <c r="D90" s="223">
        <v>1</v>
      </c>
      <c r="E90" s="224">
        <v>87249</v>
      </c>
      <c r="F90" s="225">
        <v>36.200000000000003</v>
      </c>
      <c r="G90" s="226">
        <f t="shared" ref="G90" si="31">F90*(1+$D$10)</f>
        <v>45.25</v>
      </c>
      <c r="H90" s="226">
        <f>ROUND(D90*G90,2)</f>
        <v>45.25</v>
      </c>
      <c r="I90" s="227" t="s">
        <v>109</v>
      </c>
    </row>
    <row r="91" spans="1:9" s="51" customFormat="1" ht="22.5">
      <c r="A91" s="221" t="s">
        <v>263</v>
      </c>
      <c r="B91" s="337" t="s">
        <v>502</v>
      </c>
      <c r="C91" s="221" t="s">
        <v>54</v>
      </c>
      <c r="D91" s="223">
        <v>1</v>
      </c>
      <c r="E91" s="224">
        <v>87249</v>
      </c>
      <c r="F91" s="225">
        <v>36.200000000000003</v>
      </c>
      <c r="G91" s="226">
        <f t="shared" ref="G91" si="32">F91*(1+$D$10)</f>
        <v>45.25</v>
      </c>
      <c r="H91" s="226">
        <f>ROUND(D91*G91,2)</f>
        <v>45.25</v>
      </c>
      <c r="I91" s="227" t="s">
        <v>109</v>
      </c>
    </row>
    <row r="92" spans="1:9" s="51" customFormat="1" ht="9.75" customHeight="1">
      <c r="A92" s="137"/>
      <c r="B92" s="137"/>
      <c r="C92" s="137"/>
      <c r="D92" s="203"/>
      <c r="E92" s="139"/>
      <c r="F92" s="140"/>
      <c r="G92" s="141"/>
      <c r="H92" s="141"/>
      <c r="I92" s="205"/>
    </row>
    <row r="93" spans="1:9" s="51" customFormat="1" ht="12.75">
      <c r="A93" s="232" t="s">
        <v>264</v>
      </c>
      <c r="B93" s="216" t="s">
        <v>100</v>
      </c>
      <c r="C93" s="217"/>
      <c r="D93" s="218"/>
      <c r="E93" s="219"/>
      <c r="F93" s="219"/>
      <c r="G93" s="219"/>
      <c r="H93" s="219"/>
      <c r="I93" s="220"/>
    </row>
    <row r="94" spans="1:9" s="51" customFormat="1" ht="12.75">
      <c r="A94" s="221" t="s">
        <v>265</v>
      </c>
      <c r="B94" s="222" t="s">
        <v>101</v>
      </c>
      <c r="C94" s="221" t="s">
        <v>12</v>
      </c>
      <c r="D94" s="162">
        <f>D17/2</f>
        <v>1752</v>
      </c>
      <c r="E94" s="224">
        <v>9537</v>
      </c>
      <c r="F94" s="225">
        <v>1.54433</v>
      </c>
      <c r="G94" s="226">
        <f t="shared" si="30"/>
        <v>1.9304125000000001</v>
      </c>
      <c r="H94" s="226">
        <f>ROUND(D94*G94,2)</f>
        <v>3382.08</v>
      </c>
      <c r="I94" s="227" t="s">
        <v>109</v>
      </c>
    </row>
    <row r="95" spans="1:9" s="51" customFormat="1" ht="12.75">
      <c r="A95" s="205"/>
      <c r="B95" s="155"/>
      <c r="C95" s="205"/>
      <c r="D95" s="335"/>
      <c r="E95" s="158"/>
      <c r="F95" s="159"/>
      <c r="G95" s="107"/>
      <c r="H95" s="107"/>
      <c r="I95" s="207"/>
    </row>
    <row r="96" spans="1:9" s="22" customFormat="1" ht="15.75">
      <c r="A96" s="210"/>
      <c r="B96" s="311" t="s">
        <v>272</v>
      </c>
      <c r="C96" s="71"/>
      <c r="D96" s="72"/>
      <c r="E96" s="73"/>
      <c r="F96" s="74"/>
      <c r="G96" s="75"/>
      <c r="H96" s="75"/>
      <c r="I96" s="214"/>
    </row>
    <row r="97" spans="1:9" ht="12">
      <c r="A97" s="76"/>
      <c r="B97" s="77" t="s">
        <v>501</v>
      </c>
      <c r="C97" s="78"/>
      <c r="D97" s="79"/>
      <c r="E97" s="80"/>
      <c r="F97" s="81"/>
      <c r="G97" s="82"/>
      <c r="H97" s="82"/>
    </row>
    <row r="98" spans="1:9" ht="12">
      <c r="A98" s="76"/>
      <c r="B98" s="83"/>
      <c r="C98" s="78"/>
      <c r="D98" s="79"/>
      <c r="E98" s="80"/>
      <c r="F98" s="81"/>
      <c r="G98" s="82"/>
      <c r="H98" s="82"/>
    </row>
    <row r="99" spans="1:9" ht="12">
      <c r="A99" s="76"/>
      <c r="B99" s="76"/>
      <c r="C99" s="526"/>
      <c r="D99" s="526"/>
      <c r="E99" s="526"/>
      <c r="F99" s="526"/>
      <c r="G99" s="526"/>
      <c r="H99" s="526"/>
    </row>
    <row r="100" spans="1:9" ht="12">
      <c r="A100" s="76"/>
      <c r="B100" s="527"/>
      <c r="C100" s="527"/>
      <c r="D100" s="527"/>
      <c r="E100" s="80"/>
      <c r="F100" s="81"/>
      <c r="G100" s="82"/>
      <c r="H100" s="82"/>
    </row>
    <row r="101" spans="1:9" ht="12" customHeight="1">
      <c r="A101" s="76"/>
      <c r="B101" s="525" t="s">
        <v>574</v>
      </c>
      <c r="C101" s="525"/>
      <c r="D101" s="525"/>
      <c r="E101" s="80"/>
      <c r="F101" s="81"/>
      <c r="G101" s="82"/>
      <c r="H101" s="82"/>
    </row>
    <row r="102" spans="1:9" ht="12" customHeight="1">
      <c r="A102" s="76"/>
      <c r="B102" s="525"/>
      <c r="C102" s="525"/>
      <c r="D102" s="525"/>
      <c r="E102" s="80"/>
      <c r="F102" s="81"/>
      <c r="G102" s="82"/>
      <c r="H102" s="82"/>
    </row>
    <row r="103" spans="1:9" s="25" customFormat="1" ht="11.25" customHeight="1">
      <c r="A103" s="84"/>
      <c r="B103" s="525"/>
      <c r="C103" s="525"/>
      <c r="D103" s="525"/>
      <c r="E103" s="85"/>
      <c r="F103" s="86"/>
      <c r="G103" s="86"/>
      <c r="H103" s="86"/>
      <c r="I103" s="115"/>
    </row>
    <row r="104" spans="1:9" s="25" customFormat="1" ht="11.25" customHeight="1">
      <c r="A104" s="84"/>
      <c r="B104" s="525"/>
      <c r="C104" s="525"/>
      <c r="D104" s="525"/>
      <c r="E104" s="85"/>
      <c r="F104" s="86"/>
      <c r="G104" s="88"/>
      <c r="H104" s="88"/>
      <c r="I104" s="115"/>
    </row>
    <row r="105" spans="1:9" s="25" customFormat="1" ht="11.25" customHeight="1">
      <c r="A105" s="524"/>
      <c r="B105" s="524"/>
      <c r="C105" s="524"/>
      <c r="D105" s="524"/>
      <c r="E105" s="524"/>
      <c r="F105" s="524"/>
      <c r="G105" s="524"/>
      <c r="H105" s="524"/>
      <c r="I105" s="115"/>
    </row>
    <row r="106" spans="1:9" s="25" customFormat="1" ht="11.25" customHeight="1">
      <c r="A106" s="84"/>
      <c r="B106" s="84"/>
      <c r="C106" s="84"/>
      <c r="D106" s="321"/>
      <c r="E106" s="85"/>
      <c r="F106" s="86"/>
      <c r="G106" s="88"/>
      <c r="H106" s="88"/>
      <c r="I106" s="115"/>
    </row>
    <row r="107" spans="1:9" s="25" customFormat="1" ht="12.75">
      <c r="A107" s="132"/>
      <c r="B107" s="132"/>
      <c r="C107" s="132"/>
      <c r="D107" s="322"/>
      <c r="E107" s="323"/>
      <c r="F107" s="324"/>
      <c r="G107" s="324"/>
      <c r="H107" s="324"/>
      <c r="I107" s="115"/>
    </row>
    <row r="108" spans="1:9" s="25" customFormat="1" ht="12.75">
      <c r="A108" s="132"/>
      <c r="B108" s="132"/>
      <c r="C108" s="132"/>
      <c r="D108" s="322"/>
      <c r="E108" s="323"/>
      <c r="F108" s="324"/>
      <c r="G108" s="324"/>
      <c r="H108" s="324"/>
      <c r="I108" s="115"/>
    </row>
    <row r="109" spans="1:9" s="25" customFormat="1" ht="12.75">
      <c r="A109" s="524"/>
      <c r="B109" s="524"/>
      <c r="C109" s="524"/>
      <c r="D109" s="524"/>
      <c r="E109" s="524"/>
      <c r="F109" s="524"/>
      <c r="G109" s="524"/>
      <c r="H109" s="524"/>
      <c r="I109" s="115"/>
    </row>
    <row r="110" spans="1:9" ht="12">
      <c r="A110" s="76"/>
      <c r="B110" s="76"/>
      <c r="C110" s="78"/>
      <c r="D110" s="97"/>
      <c r="E110" s="80"/>
      <c r="F110" s="81"/>
      <c r="G110" s="82"/>
      <c r="H110" s="82"/>
    </row>
  </sheetData>
  <mergeCells count="7">
    <mergeCell ref="A1:H1"/>
    <mergeCell ref="A2:H2"/>
    <mergeCell ref="A109:H109"/>
    <mergeCell ref="A105:H105"/>
    <mergeCell ref="B101:D104"/>
    <mergeCell ref="C99:H99"/>
    <mergeCell ref="B100:D100"/>
  </mergeCells>
  <printOptions horizontalCentered="1"/>
  <pageMargins left="0.39370078740157483" right="0.35433070866141736" top="0.11811023622047245" bottom="0.59055118110236227" header="0.51181102362204722" footer="0.51181102362204722"/>
  <pageSetup paperSize="9" scale="52" fitToHeight="0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108"/>
  <sheetViews>
    <sheetView showGridLines="0" view="pageBreakPreview" topLeftCell="A88" zoomScale="120" zoomScaleNormal="100" zoomScaleSheetLayoutView="120" workbookViewId="0">
      <selection activeCell="H12" sqref="H12"/>
    </sheetView>
  </sheetViews>
  <sheetFormatPr defaultRowHeight="12.75"/>
  <cols>
    <col min="1" max="1" width="5.42578125" style="66" customWidth="1"/>
    <col min="2" max="2" width="56.42578125" style="66" customWidth="1"/>
    <col min="3" max="3" width="6.28515625" style="71" customWidth="1"/>
    <col min="4" max="4" width="8.28515625" style="72" customWidth="1"/>
    <col min="5" max="5" width="13.7109375" style="73" customWidth="1"/>
    <col min="6" max="6" width="9.5703125" style="74" customWidth="1"/>
    <col min="7" max="7" width="11.140625" style="75" customWidth="1"/>
    <col min="8" max="8" width="13.140625" style="75" customWidth="1"/>
    <col min="9" max="9" width="9.140625" style="1"/>
    <col min="11" max="11" width="10" style="1" bestFit="1" customWidth="1"/>
    <col min="12" max="254" width="9.140625" style="1"/>
    <col min="255" max="255" width="4.7109375" style="1" customWidth="1"/>
    <col min="256" max="256" width="53.5703125" style="1" customWidth="1"/>
    <col min="257" max="257" width="6.28515625" style="1" customWidth="1"/>
    <col min="258" max="258" width="8.28515625" style="1" customWidth="1"/>
    <col min="259" max="259" width="12.7109375" style="1" customWidth="1"/>
    <col min="260" max="260" width="10.85546875" style="1" customWidth="1"/>
    <col min="261" max="261" width="9.5703125" style="1" customWidth="1"/>
    <col min="262" max="262" width="11.140625" style="1" customWidth="1"/>
    <col min="263" max="263" width="13.140625" style="1" customWidth="1"/>
    <col min="264" max="510" width="9.140625" style="1"/>
    <col min="511" max="511" width="4.7109375" style="1" customWidth="1"/>
    <col min="512" max="512" width="53.5703125" style="1" customWidth="1"/>
    <col min="513" max="513" width="6.28515625" style="1" customWidth="1"/>
    <col min="514" max="514" width="8.28515625" style="1" customWidth="1"/>
    <col min="515" max="515" width="12.7109375" style="1" customWidth="1"/>
    <col min="516" max="516" width="10.85546875" style="1" customWidth="1"/>
    <col min="517" max="517" width="9.5703125" style="1" customWidth="1"/>
    <col min="518" max="518" width="11.140625" style="1" customWidth="1"/>
    <col min="519" max="519" width="13.140625" style="1" customWidth="1"/>
    <col min="520" max="766" width="9.140625" style="1"/>
    <col min="767" max="767" width="4.7109375" style="1" customWidth="1"/>
    <col min="768" max="768" width="53.5703125" style="1" customWidth="1"/>
    <col min="769" max="769" width="6.28515625" style="1" customWidth="1"/>
    <col min="770" max="770" width="8.28515625" style="1" customWidth="1"/>
    <col min="771" max="771" width="12.7109375" style="1" customWidth="1"/>
    <col min="772" max="772" width="10.85546875" style="1" customWidth="1"/>
    <col min="773" max="773" width="9.5703125" style="1" customWidth="1"/>
    <col min="774" max="774" width="11.140625" style="1" customWidth="1"/>
    <col min="775" max="775" width="13.140625" style="1" customWidth="1"/>
    <col min="776" max="1022" width="9.140625" style="1"/>
    <col min="1023" max="1023" width="4.7109375" style="1" customWidth="1"/>
    <col min="1024" max="1024" width="53.5703125" style="1" customWidth="1"/>
    <col min="1025" max="1025" width="6.28515625" style="1" customWidth="1"/>
    <col min="1026" max="1026" width="8.28515625" style="1" customWidth="1"/>
    <col min="1027" max="1027" width="12.7109375" style="1" customWidth="1"/>
    <col min="1028" max="1028" width="10.85546875" style="1" customWidth="1"/>
    <col min="1029" max="1029" width="9.5703125" style="1" customWidth="1"/>
    <col min="1030" max="1030" width="11.140625" style="1" customWidth="1"/>
    <col min="1031" max="1031" width="13.140625" style="1" customWidth="1"/>
    <col min="1032" max="1278" width="9.140625" style="1"/>
    <col min="1279" max="1279" width="4.7109375" style="1" customWidth="1"/>
    <col min="1280" max="1280" width="53.5703125" style="1" customWidth="1"/>
    <col min="1281" max="1281" width="6.28515625" style="1" customWidth="1"/>
    <col min="1282" max="1282" width="8.28515625" style="1" customWidth="1"/>
    <col min="1283" max="1283" width="12.7109375" style="1" customWidth="1"/>
    <col min="1284" max="1284" width="10.85546875" style="1" customWidth="1"/>
    <col min="1285" max="1285" width="9.5703125" style="1" customWidth="1"/>
    <col min="1286" max="1286" width="11.140625" style="1" customWidth="1"/>
    <col min="1287" max="1287" width="13.140625" style="1" customWidth="1"/>
    <col min="1288" max="1534" width="9.140625" style="1"/>
    <col min="1535" max="1535" width="4.7109375" style="1" customWidth="1"/>
    <col min="1536" max="1536" width="53.5703125" style="1" customWidth="1"/>
    <col min="1537" max="1537" width="6.28515625" style="1" customWidth="1"/>
    <col min="1538" max="1538" width="8.28515625" style="1" customWidth="1"/>
    <col min="1539" max="1539" width="12.7109375" style="1" customWidth="1"/>
    <col min="1540" max="1540" width="10.85546875" style="1" customWidth="1"/>
    <col min="1541" max="1541" width="9.5703125" style="1" customWidth="1"/>
    <col min="1542" max="1542" width="11.140625" style="1" customWidth="1"/>
    <col min="1543" max="1543" width="13.140625" style="1" customWidth="1"/>
    <col min="1544" max="1790" width="9.140625" style="1"/>
    <col min="1791" max="1791" width="4.7109375" style="1" customWidth="1"/>
    <col min="1792" max="1792" width="53.5703125" style="1" customWidth="1"/>
    <col min="1793" max="1793" width="6.28515625" style="1" customWidth="1"/>
    <col min="1794" max="1794" width="8.28515625" style="1" customWidth="1"/>
    <col min="1795" max="1795" width="12.7109375" style="1" customWidth="1"/>
    <col min="1796" max="1796" width="10.85546875" style="1" customWidth="1"/>
    <col min="1797" max="1797" width="9.5703125" style="1" customWidth="1"/>
    <col min="1798" max="1798" width="11.140625" style="1" customWidth="1"/>
    <col min="1799" max="1799" width="13.140625" style="1" customWidth="1"/>
    <col min="1800" max="2046" width="9.140625" style="1"/>
    <col min="2047" max="2047" width="4.7109375" style="1" customWidth="1"/>
    <col min="2048" max="2048" width="53.5703125" style="1" customWidth="1"/>
    <col min="2049" max="2049" width="6.28515625" style="1" customWidth="1"/>
    <col min="2050" max="2050" width="8.28515625" style="1" customWidth="1"/>
    <col min="2051" max="2051" width="12.7109375" style="1" customWidth="1"/>
    <col min="2052" max="2052" width="10.85546875" style="1" customWidth="1"/>
    <col min="2053" max="2053" width="9.5703125" style="1" customWidth="1"/>
    <col min="2054" max="2054" width="11.140625" style="1" customWidth="1"/>
    <col min="2055" max="2055" width="13.140625" style="1" customWidth="1"/>
    <col min="2056" max="2302" width="9.140625" style="1"/>
    <col min="2303" max="2303" width="4.7109375" style="1" customWidth="1"/>
    <col min="2304" max="2304" width="53.5703125" style="1" customWidth="1"/>
    <col min="2305" max="2305" width="6.28515625" style="1" customWidth="1"/>
    <col min="2306" max="2306" width="8.28515625" style="1" customWidth="1"/>
    <col min="2307" max="2307" width="12.7109375" style="1" customWidth="1"/>
    <col min="2308" max="2308" width="10.85546875" style="1" customWidth="1"/>
    <col min="2309" max="2309" width="9.5703125" style="1" customWidth="1"/>
    <col min="2310" max="2310" width="11.140625" style="1" customWidth="1"/>
    <col min="2311" max="2311" width="13.140625" style="1" customWidth="1"/>
    <col min="2312" max="2558" width="9.140625" style="1"/>
    <col min="2559" max="2559" width="4.7109375" style="1" customWidth="1"/>
    <col min="2560" max="2560" width="53.5703125" style="1" customWidth="1"/>
    <col min="2561" max="2561" width="6.28515625" style="1" customWidth="1"/>
    <col min="2562" max="2562" width="8.28515625" style="1" customWidth="1"/>
    <col min="2563" max="2563" width="12.7109375" style="1" customWidth="1"/>
    <col min="2564" max="2564" width="10.85546875" style="1" customWidth="1"/>
    <col min="2565" max="2565" width="9.5703125" style="1" customWidth="1"/>
    <col min="2566" max="2566" width="11.140625" style="1" customWidth="1"/>
    <col min="2567" max="2567" width="13.140625" style="1" customWidth="1"/>
    <col min="2568" max="2814" width="9.140625" style="1"/>
    <col min="2815" max="2815" width="4.7109375" style="1" customWidth="1"/>
    <col min="2816" max="2816" width="53.5703125" style="1" customWidth="1"/>
    <col min="2817" max="2817" width="6.28515625" style="1" customWidth="1"/>
    <col min="2818" max="2818" width="8.28515625" style="1" customWidth="1"/>
    <col min="2819" max="2819" width="12.7109375" style="1" customWidth="1"/>
    <col min="2820" max="2820" width="10.85546875" style="1" customWidth="1"/>
    <col min="2821" max="2821" width="9.5703125" style="1" customWidth="1"/>
    <col min="2822" max="2822" width="11.140625" style="1" customWidth="1"/>
    <col min="2823" max="2823" width="13.140625" style="1" customWidth="1"/>
    <col min="2824" max="3070" width="9.140625" style="1"/>
    <col min="3071" max="3071" width="4.7109375" style="1" customWidth="1"/>
    <col min="3072" max="3072" width="53.5703125" style="1" customWidth="1"/>
    <col min="3073" max="3073" width="6.28515625" style="1" customWidth="1"/>
    <col min="3074" max="3074" width="8.28515625" style="1" customWidth="1"/>
    <col min="3075" max="3075" width="12.7109375" style="1" customWidth="1"/>
    <col min="3076" max="3076" width="10.85546875" style="1" customWidth="1"/>
    <col min="3077" max="3077" width="9.5703125" style="1" customWidth="1"/>
    <col min="3078" max="3078" width="11.140625" style="1" customWidth="1"/>
    <col min="3079" max="3079" width="13.140625" style="1" customWidth="1"/>
    <col min="3080" max="3326" width="9.140625" style="1"/>
    <col min="3327" max="3327" width="4.7109375" style="1" customWidth="1"/>
    <col min="3328" max="3328" width="53.5703125" style="1" customWidth="1"/>
    <col min="3329" max="3329" width="6.28515625" style="1" customWidth="1"/>
    <col min="3330" max="3330" width="8.28515625" style="1" customWidth="1"/>
    <col min="3331" max="3331" width="12.7109375" style="1" customWidth="1"/>
    <col min="3332" max="3332" width="10.85546875" style="1" customWidth="1"/>
    <col min="3333" max="3333" width="9.5703125" style="1" customWidth="1"/>
    <col min="3334" max="3334" width="11.140625" style="1" customWidth="1"/>
    <col min="3335" max="3335" width="13.140625" style="1" customWidth="1"/>
    <col min="3336" max="3582" width="9.140625" style="1"/>
    <col min="3583" max="3583" width="4.7109375" style="1" customWidth="1"/>
    <col min="3584" max="3584" width="53.5703125" style="1" customWidth="1"/>
    <col min="3585" max="3585" width="6.28515625" style="1" customWidth="1"/>
    <col min="3586" max="3586" width="8.28515625" style="1" customWidth="1"/>
    <col min="3587" max="3587" width="12.7109375" style="1" customWidth="1"/>
    <col min="3588" max="3588" width="10.85546875" style="1" customWidth="1"/>
    <col min="3589" max="3589" width="9.5703125" style="1" customWidth="1"/>
    <col min="3590" max="3590" width="11.140625" style="1" customWidth="1"/>
    <col min="3591" max="3591" width="13.140625" style="1" customWidth="1"/>
    <col min="3592" max="3838" width="9.140625" style="1"/>
    <col min="3839" max="3839" width="4.7109375" style="1" customWidth="1"/>
    <col min="3840" max="3840" width="53.5703125" style="1" customWidth="1"/>
    <col min="3841" max="3841" width="6.28515625" style="1" customWidth="1"/>
    <col min="3842" max="3842" width="8.28515625" style="1" customWidth="1"/>
    <col min="3843" max="3843" width="12.7109375" style="1" customWidth="1"/>
    <col min="3844" max="3844" width="10.85546875" style="1" customWidth="1"/>
    <col min="3845" max="3845" width="9.5703125" style="1" customWidth="1"/>
    <col min="3846" max="3846" width="11.140625" style="1" customWidth="1"/>
    <col min="3847" max="3847" width="13.140625" style="1" customWidth="1"/>
    <col min="3848" max="4094" width="9.140625" style="1"/>
    <col min="4095" max="4095" width="4.7109375" style="1" customWidth="1"/>
    <col min="4096" max="4096" width="53.5703125" style="1" customWidth="1"/>
    <col min="4097" max="4097" width="6.28515625" style="1" customWidth="1"/>
    <col min="4098" max="4098" width="8.28515625" style="1" customWidth="1"/>
    <col min="4099" max="4099" width="12.7109375" style="1" customWidth="1"/>
    <col min="4100" max="4100" width="10.85546875" style="1" customWidth="1"/>
    <col min="4101" max="4101" width="9.5703125" style="1" customWidth="1"/>
    <col min="4102" max="4102" width="11.140625" style="1" customWidth="1"/>
    <col min="4103" max="4103" width="13.140625" style="1" customWidth="1"/>
    <col min="4104" max="4350" width="9.140625" style="1"/>
    <col min="4351" max="4351" width="4.7109375" style="1" customWidth="1"/>
    <col min="4352" max="4352" width="53.5703125" style="1" customWidth="1"/>
    <col min="4353" max="4353" width="6.28515625" style="1" customWidth="1"/>
    <col min="4354" max="4354" width="8.28515625" style="1" customWidth="1"/>
    <col min="4355" max="4355" width="12.7109375" style="1" customWidth="1"/>
    <col min="4356" max="4356" width="10.85546875" style="1" customWidth="1"/>
    <col min="4357" max="4357" width="9.5703125" style="1" customWidth="1"/>
    <col min="4358" max="4358" width="11.140625" style="1" customWidth="1"/>
    <col min="4359" max="4359" width="13.140625" style="1" customWidth="1"/>
    <col min="4360" max="4606" width="9.140625" style="1"/>
    <col min="4607" max="4607" width="4.7109375" style="1" customWidth="1"/>
    <col min="4608" max="4608" width="53.5703125" style="1" customWidth="1"/>
    <col min="4609" max="4609" width="6.28515625" style="1" customWidth="1"/>
    <col min="4610" max="4610" width="8.28515625" style="1" customWidth="1"/>
    <col min="4611" max="4611" width="12.7109375" style="1" customWidth="1"/>
    <col min="4612" max="4612" width="10.85546875" style="1" customWidth="1"/>
    <col min="4613" max="4613" width="9.5703125" style="1" customWidth="1"/>
    <col min="4614" max="4614" width="11.140625" style="1" customWidth="1"/>
    <col min="4615" max="4615" width="13.140625" style="1" customWidth="1"/>
    <col min="4616" max="4862" width="9.140625" style="1"/>
    <col min="4863" max="4863" width="4.7109375" style="1" customWidth="1"/>
    <col min="4864" max="4864" width="53.5703125" style="1" customWidth="1"/>
    <col min="4865" max="4865" width="6.28515625" style="1" customWidth="1"/>
    <col min="4866" max="4866" width="8.28515625" style="1" customWidth="1"/>
    <col min="4867" max="4867" width="12.7109375" style="1" customWidth="1"/>
    <col min="4868" max="4868" width="10.85546875" style="1" customWidth="1"/>
    <col min="4869" max="4869" width="9.5703125" style="1" customWidth="1"/>
    <col min="4870" max="4870" width="11.140625" style="1" customWidth="1"/>
    <col min="4871" max="4871" width="13.140625" style="1" customWidth="1"/>
    <col min="4872" max="5118" width="9.140625" style="1"/>
    <col min="5119" max="5119" width="4.7109375" style="1" customWidth="1"/>
    <col min="5120" max="5120" width="53.5703125" style="1" customWidth="1"/>
    <col min="5121" max="5121" width="6.28515625" style="1" customWidth="1"/>
    <col min="5122" max="5122" width="8.28515625" style="1" customWidth="1"/>
    <col min="5123" max="5123" width="12.7109375" style="1" customWidth="1"/>
    <col min="5124" max="5124" width="10.85546875" style="1" customWidth="1"/>
    <col min="5125" max="5125" width="9.5703125" style="1" customWidth="1"/>
    <col min="5126" max="5126" width="11.140625" style="1" customWidth="1"/>
    <col min="5127" max="5127" width="13.140625" style="1" customWidth="1"/>
    <col min="5128" max="5374" width="9.140625" style="1"/>
    <col min="5375" max="5375" width="4.7109375" style="1" customWidth="1"/>
    <col min="5376" max="5376" width="53.5703125" style="1" customWidth="1"/>
    <col min="5377" max="5377" width="6.28515625" style="1" customWidth="1"/>
    <col min="5378" max="5378" width="8.28515625" style="1" customWidth="1"/>
    <col min="5379" max="5379" width="12.7109375" style="1" customWidth="1"/>
    <col min="5380" max="5380" width="10.85546875" style="1" customWidth="1"/>
    <col min="5381" max="5381" width="9.5703125" style="1" customWidth="1"/>
    <col min="5382" max="5382" width="11.140625" style="1" customWidth="1"/>
    <col min="5383" max="5383" width="13.140625" style="1" customWidth="1"/>
    <col min="5384" max="5630" width="9.140625" style="1"/>
    <col min="5631" max="5631" width="4.7109375" style="1" customWidth="1"/>
    <col min="5632" max="5632" width="53.5703125" style="1" customWidth="1"/>
    <col min="5633" max="5633" width="6.28515625" style="1" customWidth="1"/>
    <col min="5634" max="5634" width="8.28515625" style="1" customWidth="1"/>
    <col min="5635" max="5635" width="12.7109375" style="1" customWidth="1"/>
    <col min="5636" max="5636" width="10.85546875" style="1" customWidth="1"/>
    <col min="5637" max="5637" width="9.5703125" style="1" customWidth="1"/>
    <col min="5638" max="5638" width="11.140625" style="1" customWidth="1"/>
    <col min="5639" max="5639" width="13.140625" style="1" customWidth="1"/>
    <col min="5640" max="5886" width="9.140625" style="1"/>
    <col min="5887" max="5887" width="4.7109375" style="1" customWidth="1"/>
    <col min="5888" max="5888" width="53.5703125" style="1" customWidth="1"/>
    <col min="5889" max="5889" width="6.28515625" style="1" customWidth="1"/>
    <col min="5890" max="5890" width="8.28515625" style="1" customWidth="1"/>
    <col min="5891" max="5891" width="12.7109375" style="1" customWidth="1"/>
    <col min="5892" max="5892" width="10.85546875" style="1" customWidth="1"/>
    <col min="5893" max="5893" width="9.5703125" style="1" customWidth="1"/>
    <col min="5894" max="5894" width="11.140625" style="1" customWidth="1"/>
    <col min="5895" max="5895" width="13.140625" style="1" customWidth="1"/>
    <col min="5896" max="6142" width="9.140625" style="1"/>
    <col min="6143" max="6143" width="4.7109375" style="1" customWidth="1"/>
    <col min="6144" max="6144" width="53.5703125" style="1" customWidth="1"/>
    <col min="6145" max="6145" width="6.28515625" style="1" customWidth="1"/>
    <col min="6146" max="6146" width="8.28515625" style="1" customWidth="1"/>
    <col min="6147" max="6147" width="12.7109375" style="1" customWidth="1"/>
    <col min="6148" max="6148" width="10.85546875" style="1" customWidth="1"/>
    <col min="6149" max="6149" width="9.5703125" style="1" customWidth="1"/>
    <col min="6150" max="6150" width="11.140625" style="1" customWidth="1"/>
    <col min="6151" max="6151" width="13.140625" style="1" customWidth="1"/>
    <col min="6152" max="6398" width="9.140625" style="1"/>
    <col min="6399" max="6399" width="4.7109375" style="1" customWidth="1"/>
    <col min="6400" max="6400" width="53.5703125" style="1" customWidth="1"/>
    <col min="6401" max="6401" width="6.28515625" style="1" customWidth="1"/>
    <col min="6402" max="6402" width="8.28515625" style="1" customWidth="1"/>
    <col min="6403" max="6403" width="12.7109375" style="1" customWidth="1"/>
    <col min="6404" max="6404" width="10.85546875" style="1" customWidth="1"/>
    <col min="6405" max="6405" width="9.5703125" style="1" customWidth="1"/>
    <col min="6406" max="6406" width="11.140625" style="1" customWidth="1"/>
    <col min="6407" max="6407" width="13.140625" style="1" customWidth="1"/>
    <col min="6408" max="6654" width="9.140625" style="1"/>
    <col min="6655" max="6655" width="4.7109375" style="1" customWidth="1"/>
    <col min="6656" max="6656" width="53.5703125" style="1" customWidth="1"/>
    <col min="6657" max="6657" width="6.28515625" style="1" customWidth="1"/>
    <col min="6658" max="6658" width="8.28515625" style="1" customWidth="1"/>
    <col min="6659" max="6659" width="12.7109375" style="1" customWidth="1"/>
    <col min="6660" max="6660" width="10.85546875" style="1" customWidth="1"/>
    <col min="6661" max="6661" width="9.5703125" style="1" customWidth="1"/>
    <col min="6662" max="6662" width="11.140625" style="1" customWidth="1"/>
    <col min="6663" max="6663" width="13.140625" style="1" customWidth="1"/>
    <col min="6664" max="6910" width="9.140625" style="1"/>
    <col min="6911" max="6911" width="4.7109375" style="1" customWidth="1"/>
    <col min="6912" max="6912" width="53.5703125" style="1" customWidth="1"/>
    <col min="6913" max="6913" width="6.28515625" style="1" customWidth="1"/>
    <col min="6914" max="6914" width="8.28515625" style="1" customWidth="1"/>
    <col min="6915" max="6915" width="12.7109375" style="1" customWidth="1"/>
    <col min="6916" max="6916" width="10.85546875" style="1" customWidth="1"/>
    <col min="6917" max="6917" width="9.5703125" style="1" customWidth="1"/>
    <col min="6918" max="6918" width="11.140625" style="1" customWidth="1"/>
    <col min="6919" max="6919" width="13.140625" style="1" customWidth="1"/>
    <col min="6920" max="7166" width="9.140625" style="1"/>
    <col min="7167" max="7167" width="4.7109375" style="1" customWidth="1"/>
    <col min="7168" max="7168" width="53.5703125" style="1" customWidth="1"/>
    <col min="7169" max="7169" width="6.28515625" style="1" customWidth="1"/>
    <col min="7170" max="7170" width="8.28515625" style="1" customWidth="1"/>
    <col min="7171" max="7171" width="12.7109375" style="1" customWidth="1"/>
    <col min="7172" max="7172" width="10.85546875" style="1" customWidth="1"/>
    <col min="7173" max="7173" width="9.5703125" style="1" customWidth="1"/>
    <col min="7174" max="7174" width="11.140625" style="1" customWidth="1"/>
    <col min="7175" max="7175" width="13.140625" style="1" customWidth="1"/>
    <col min="7176" max="7422" width="9.140625" style="1"/>
    <col min="7423" max="7423" width="4.7109375" style="1" customWidth="1"/>
    <col min="7424" max="7424" width="53.5703125" style="1" customWidth="1"/>
    <col min="7425" max="7425" width="6.28515625" style="1" customWidth="1"/>
    <col min="7426" max="7426" width="8.28515625" style="1" customWidth="1"/>
    <col min="7427" max="7427" width="12.7109375" style="1" customWidth="1"/>
    <col min="7428" max="7428" width="10.85546875" style="1" customWidth="1"/>
    <col min="7429" max="7429" width="9.5703125" style="1" customWidth="1"/>
    <col min="7430" max="7430" width="11.140625" style="1" customWidth="1"/>
    <col min="7431" max="7431" width="13.140625" style="1" customWidth="1"/>
    <col min="7432" max="7678" width="9.140625" style="1"/>
    <col min="7679" max="7679" width="4.7109375" style="1" customWidth="1"/>
    <col min="7680" max="7680" width="53.5703125" style="1" customWidth="1"/>
    <col min="7681" max="7681" width="6.28515625" style="1" customWidth="1"/>
    <col min="7682" max="7682" width="8.28515625" style="1" customWidth="1"/>
    <col min="7683" max="7683" width="12.7109375" style="1" customWidth="1"/>
    <col min="7684" max="7684" width="10.85546875" style="1" customWidth="1"/>
    <col min="7685" max="7685" width="9.5703125" style="1" customWidth="1"/>
    <col min="7686" max="7686" width="11.140625" style="1" customWidth="1"/>
    <col min="7687" max="7687" width="13.140625" style="1" customWidth="1"/>
    <col min="7688" max="7934" width="9.140625" style="1"/>
    <col min="7935" max="7935" width="4.7109375" style="1" customWidth="1"/>
    <col min="7936" max="7936" width="53.5703125" style="1" customWidth="1"/>
    <col min="7937" max="7937" width="6.28515625" style="1" customWidth="1"/>
    <col min="7938" max="7938" width="8.28515625" style="1" customWidth="1"/>
    <col min="7939" max="7939" width="12.7109375" style="1" customWidth="1"/>
    <col min="7940" max="7940" width="10.85546875" style="1" customWidth="1"/>
    <col min="7941" max="7941" width="9.5703125" style="1" customWidth="1"/>
    <col min="7942" max="7942" width="11.140625" style="1" customWidth="1"/>
    <col min="7943" max="7943" width="13.140625" style="1" customWidth="1"/>
    <col min="7944" max="8190" width="9.140625" style="1"/>
    <col min="8191" max="8191" width="4.7109375" style="1" customWidth="1"/>
    <col min="8192" max="8192" width="53.5703125" style="1" customWidth="1"/>
    <col min="8193" max="8193" width="6.28515625" style="1" customWidth="1"/>
    <col min="8194" max="8194" width="8.28515625" style="1" customWidth="1"/>
    <col min="8195" max="8195" width="12.7109375" style="1" customWidth="1"/>
    <col min="8196" max="8196" width="10.85546875" style="1" customWidth="1"/>
    <col min="8197" max="8197" width="9.5703125" style="1" customWidth="1"/>
    <col min="8198" max="8198" width="11.140625" style="1" customWidth="1"/>
    <col min="8199" max="8199" width="13.140625" style="1" customWidth="1"/>
    <col min="8200" max="8446" width="9.140625" style="1"/>
    <col min="8447" max="8447" width="4.7109375" style="1" customWidth="1"/>
    <col min="8448" max="8448" width="53.5703125" style="1" customWidth="1"/>
    <col min="8449" max="8449" width="6.28515625" style="1" customWidth="1"/>
    <col min="8450" max="8450" width="8.28515625" style="1" customWidth="1"/>
    <col min="8451" max="8451" width="12.7109375" style="1" customWidth="1"/>
    <col min="8452" max="8452" width="10.85546875" style="1" customWidth="1"/>
    <col min="8453" max="8453" width="9.5703125" style="1" customWidth="1"/>
    <col min="8454" max="8454" width="11.140625" style="1" customWidth="1"/>
    <col min="8455" max="8455" width="13.140625" style="1" customWidth="1"/>
    <col min="8456" max="8702" width="9.140625" style="1"/>
    <col min="8703" max="8703" width="4.7109375" style="1" customWidth="1"/>
    <col min="8704" max="8704" width="53.5703125" style="1" customWidth="1"/>
    <col min="8705" max="8705" width="6.28515625" style="1" customWidth="1"/>
    <col min="8706" max="8706" width="8.28515625" style="1" customWidth="1"/>
    <col min="8707" max="8707" width="12.7109375" style="1" customWidth="1"/>
    <col min="8708" max="8708" width="10.85546875" style="1" customWidth="1"/>
    <col min="8709" max="8709" width="9.5703125" style="1" customWidth="1"/>
    <col min="8710" max="8710" width="11.140625" style="1" customWidth="1"/>
    <col min="8711" max="8711" width="13.140625" style="1" customWidth="1"/>
    <col min="8712" max="8958" width="9.140625" style="1"/>
    <col min="8959" max="8959" width="4.7109375" style="1" customWidth="1"/>
    <col min="8960" max="8960" width="53.5703125" style="1" customWidth="1"/>
    <col min="8961" max="8961" width="6.28515625" style="1" customWidth="1"/>
    <col min="8962" max="8962" width="8.28515625" style="1" customWidth="1"/>
    <col min="8963" max="8963" width="12.7109375" style="1" customWidth="1"/>
    <col min="8964" max="8964" width="10.85546875" style="1" customWidth="1"/>
    <col min="8965" max="8965" width="9.5703125" style="1" customWidth="1"/>
    <col min="8966" max="8966" width="11.140625" style="1" customWidth="1"/>
    <col min="8967" max="8967" width="13.140625" style="1" customWidth="1"/>
    <col min="8968" max="9214" width="9.140625" style="1"/>
    <col min="9215" max="9215" width="4.7109375" style="1" customWidth="1"/>
    <col min="9216" max="9216" width="53.5703125" style="1" customWidth="1"/>
    <col min="9217" max="9217" width="6.28515625" style="1" customWidth="1"/>
    <col min="9218" max="9218" width="8.28515625" style="1" customWidth="1"/>
    <col min="9219" max="9219" width="12.7109375" style="1" customWidth="1"/>
    <col min="9220" max="9220" width="10.85546875" style="1" customWidth="1"/>
    <col min="9221" max="9221" width="9.5703125" style="1" customWidth="1"/>
    <col min="9222" max="9222" width="11.140625" style="1" customWidth="1"/>
    <col min="9223" max="9223" width="13.140625" style="1" customWidth="1"/>
    <col min="9224" max="9470" width="9.140625" style="1"/>
    <col min="9471" max="9471" width="4.7109375" style="1" customWidth="1"/>
    <col min="9472" max="9472" width="53.5703125" style="1" customWidth="1"/>
    <col min="9473" max="9473" width="6.28515625" style="1" customWidth="1"/>
    <col min="9474" max="9474" width="8.28515625" style="1" customWidth="1"/>
    <col min="9475" max="9475" width="12.7109375" style="1" customWidth="1"/>
    <col min="9476" max="9476" width="10.85546875" style="1" customWidth="1"/>
    <col min="9477" max="9477" width="9.5703125" style="1" customWidth="1"/>
    <col min="9478" max="9478" width="11.140625" style="1" customWidth="1"/>
    <col min="9479" max="9479" width="13.140625" style="1" customWidth="1"/>
    <col min="9480" max="9726" width="9.140625" style="1"/>
    <col min="9727" max="9727" width="4.7109375" style="1" customWidth="1"/>
    <col min="9728" max="9728" width="53.5703125" style="1" customWidth="1"/>
    <col min="9729" max="9729" width="6.28515625" style="1" customWidth="1"/>
    <col min="9730" max="9730" width="8.28515625" style="1" customWidth="1"/>
    <col min="9731" max="9731" width="12.7109375" style="1" customWidth="1"/>
    <col min="9732" max="9732" width="10.85546875" style="1" customWidth="1"/>
    <col min="9733" max="9733" width="9.5703125" style="1" customWidth="1"/>
    <col min="9734" max="9734" width="11.140625" style="1" customWidth="1"/>
    <col min="9735" max="9735" width="13.140625" style="1" customWidth="1"/>
    <col min="9736" max="9982" width="9.140625" style="1"/>
    <col min="9983" max="9983" width="4.7109375" style="1" customWidth="1"/>
    <col min="9984" max="9984" width="53.5703125" style="1" customWidth="1"/>
    <col min="9985" max="9985" width="6.28515625" style="1" customWidth="1"/>
    <col min="9986" max="9986" width="8.28515625" style="1" customWidth="1"/>
    <col min="9987" max="9987" width="12.7109375" style="1" customWidth="1"/>
    <col min="9988" max="9988" width="10.85546875" style="1" customWidth="1"/>
    <col min="9989" max="9989" width="9.5703125" style="1" customWidth="1"/>
    <col min="9990" max="9990" width="11.140625" style="1" customWidth="1"/>
    <col min="9991" max="9991" width="13.140625" style="1" customWidth="1"/>
    <col min="9992" max="10238" width="9.140625" style="1"/>
    <col min="10239" max="10239" width="4.7109375" style="1" customWidth="1"/>
    <col min="10240" max="10240" width="53.5703125" style="1" customWidth="1"/>
    <col min="10241" max="10241" width="6.28515625" style="1" customWidth="1"/>
    <col min="10242" max="10242" width="8.28515625" style="1" customWidth="1"/>
    <col min="10243" max="10243" width="12.7109375" style="1" customWidth="1"/>
    <col min="10244" max="10244" width="10.85546875" style="1" customWidth="1"/>
    <col min="10245" max="10245" width="9.5703125" style="1" customWidth="1"/>
    <col min="10246" max="10246" width="11.140625" style="1" customWidth="1"/>
    <col min="10247" max="10247" width="13.140625" style="1" customWidth="1"/>
    <col min="10248" max="10494" width="9.140625" style="1"/>
    <col min="10495" max="10495" width="4.7109375" style="1" customWidth="1"/>
    <col min="10496" max="10496" width="53.5703125" style="1" customWidth="1"/>
    <col min="10497" max="10497" width="6.28515625" style="1" customWidth="1"/>
    <col min="10498" max="10498" width="8.28515625" style="1" customWidth="1"/>
    <col min="10499" max="10499" width="12.7109375" style="1" customWidth="1"/>
    <col min="10500" max="10500" width="10.85546875" style="1" customWidth="1"/>
    <col min="10501" max="10501" width="9.5703125" style="1" customWidth="1"/>
    <col min="10502" max="10502" width="11.140625" style="1" customWidth="1"/>
    <col min="10503" max="10503" width="13.140625" style="1" customWidth="1"/>
    <col min="10504" max="10750" width="9.140625" style="1"/>
    <col min="10751" max="10751" width="4.7109375" style="1" customWidth="1"/>
    <col min="10752" max="10752" width="53.5703125" style="1" customWidth="1"/>
    <col min="10753" max="10753" width="6.28515625" style="1" customWidth="1"/>
    <col min="10754" max="10754" width="8.28515625" style="1" customWidth="1"/>
    <col min="10755" max="10755" width="12.7109375" style="1" customWidth="1"/>
    <col min="10756" max="10756" width="10.85546875" style="1" customWidth="1"/>
    <col min="10757" max="10757" width="9.5703125" style="1" customWidth="1"/>
    <col min="10758" max="10758" width="11.140625" style="1" customWidth="1"/>
    <col min="10759" max="10759" width="13.140625" style="1" customWidth="1"/>
    <col min="10760" max="11006" width="9.140625" style="1"/>
    <col min="11007" max="11007" width="4.7109375" style="1" customWidth="1"/>
    <col min="11008" max="11008" width="53.5703125" style="1" customWidth="1"/>
    <col min="11009" max="11009" width="6.28515625" style="1" customWidth="1"/>
    <col min="11010" max="11010" width="8.28515625" style="1" customWidth="1"/>
    <col min="11011" max="11011" width="12.7109375" style="1" customWidth="1"/>
    <col min="11012" max="11012" width="10.85546875" style="1" customWidth="1"/>
    <col min="11013" max="11013" width="9.5703125" style="1" customWidth="1"/>
    <col min="11014" max="11014" width="11.140625" style="1" customWidth="1"/>
    <col min="11015" max="11015" width="13.140625" style="1" customWidth="1"/>
    <col min="11016" max="11262" width="9.140625" style="1"/>
    <col min="11263" max="11263" width="4.7109375" style="1" customWidth="1"/>
    <col min="11264" max="11264" width="53.5703125" style="1" customWidth="1"/>
    <col min="11265" max="11265" width="6.28515625" style="1" customWidth="1"/>
    <col min="11266" max="11266" width="8.28515625" style="1" customWidth="1"/>
    <col min="11267" max="11267" width="12.7109375" style="1" customWidth="1"/>
    <col min="11268" max="11268" width="10.85546875" style="1" customWidth="1"/>
    <col min="11269" max="11269" width="9.5703125" style="1" customWidth="1"/>
    <col min="11270" max="11270" width="11.140625" style="1" customWidth="1"/>
    <col min="11271" max="11271" width="13.140625" style="1" customWidth="1"/>
    <col min="11272" max="11518" width="9.140625" style="1"/>
    <col min="11519" max="11519" width="4.7109375" style="1" customWidth="1"/>
    <col min="11520" max="11520" width="53.5703125" style="1" customWidth="1"/>
    <col min="11521" max="11521" width="6.28515625" style="1" customWidth="1"/>
    <col min="11522" max="11522" width="8.28515625" style="1" customWidth="1"/>
    <col min="11523" max="11523" width="12.7109375" style="1" customWidth="1"/>
    <col min="11524" max="11524" width="10.85546875" style="1" customWidth="1"/>
    <col min="11525" max="11525" width="9.5703125" style="1" customWidth="1"/>
    <col min="11526" max="11526" width="11.140625" style="1" customWidth="1"/>
    <col min="11527" max="11527" width="13.140625" style="1" customWidth="1"/>
    <col min="11528" max="11774" width="9.140625" style="1"/>
    <col min="11775" max="11775" width="4.7109375" style="1" customWidth="1"/>
    <col min="11776" max="11776" width="53.5703125" style="1" customWidth="1"/>
    <col min="11777" max="11777" width="6.28515625" style="1" customWidth="1"/>
    <col min="11778" max="11778" width="8.28515625" style="1" customWidth="1"/>
    <col min="11779" max="11779" width="12.7109375" style="1" customWidth="1"/>
    <col min="11780" max="11780" width="10.85546875" style="1" customWidth="1"/>
    <col min="11781" max="11781" width="9.5703125" style="1" customWidth="1"/>
    <col min="11782" max="11782" width="11.140625" style="1" customWidth="1"/>
    <col min="11783" max="11783" width="13.140625" style="1" customWidth="1"/>
    <col min="11784" max="12030" width="9.140625" style="1"/>
    <col min="12031" max="12031" width="4.7109375" style="1" customWidth="1"/>
    <col min="12032" max="12032" width="53.5703125" style="1" customWidth="1"/>
    <col min="12033" max="12033" width="6.28515625" style="1" customWidth="1"/>
    <col min="12034" max="12034" width="8.28515625" style="1" customWidth="1"/>
    <col min="12035" max="12035" width="12.7109375" style="1" customWidth="1"/>
    <col min="12036" max="12036" width="10.85546875" style="1" customWidth="1"/>
    <col min="12037" max="12037" width="9.5703125" style="1" customWidth="1"/>
    <col min="12038" max="12038" width="11.140625" style="1" customWidth="1"/>
    <col min="12039" max="12039" width="13.140625" style="1" customWidth="1"/>
    <col min="12040" max="12286" width="9.140625" style="1"/>
    <col min="12287" max="12287" width="4.7109375" style="1" customWidth="1"/>
    <col min="12288" max="12288" width="53.5703125" style="1" customWidth="1"/>
    <col min="12289" max="12289" width="6.28515625" style="1" customWidth="1"/>
    <col min="12290" max="12290" width="8.28515625" style="1" customWidth="1"/>
    <col min="12291" max="12291" width="12.7109375" style="1" customWidth="1"/>
    <col min="12292" max="12292" width="10.85546875" style="1" customWidth="1"/>
    <col min="12293" max="12293" width="9.5703125" style="1" customWidth="1"/>
    <col min="12294" max="12294" width="11.140625" style="1" customWidth="1"/>
    <col min="12295" max="12295" width="13.140625" style="1" customWidth="1"/>
    <col min="12296" max="12542" width="9.140625" style="1"/>
    <col min="12543" max="12543" width="4.7109375" style="1" customWidth="1"/>
    <col min="12544" max="12544" width="53.5703125" style="1" customWidth="1"/>
    <col min="12545" max="12545" width="6.28515625" style="1" customWidth="1"/>
    <col min="12546" max="12546" width="8.28515625" style="1" customWidth="1"/>
    <col min="12547" max="12547" width="12.7109375" style="1" customWidth="1"/>
    <col min="12548" max="12548" width="10.85546875" style="1" customWidth="1"/>
    <col min="12549" max="12549" width="9.5703125" style="1" customWidth="1"/>
    <col min="12550" max="12550" width="11.140625" style="1" customWidth="1"/>
    <col min="12551" max="12551" width="13.140625" style="1" customWidth="1"/>
    <col min="12552" max="12798" width="9.140625" style="1"/>
    <col min="12799" max="12799" width="4.7109375" style="1" customWidth="1"/>
    <col min="12800" max="12800" width="53.5703125" style="1" customWidth="1"/>
    <col min="12801" max="12801" width="6.28515625" style="1" customWidth="1"/>
    <col min="12802" max="12802" width="8.28515625" style="1" customWidth="1"/>
    <col min="12803" max="12803" width="12.7109375" style="1" customWidth="1"/>
    <col min="12804" max="12804" width="10.85546875" style="1" customWidth="1"/>
    <col min="12805" max="12805" width="9.5703125" style="1" customWidth="1"/>
    <col min="12806" max="12806" width="11.140625" style="1" customWidth="1"/>
    <col min="12807" max="12807" width="13.140625" style="1" customWidth="1"/>
    <col min="12808" max="13054" width="9.140625" style="1"/>
    <col min="13055" max="13055" width="4.7109375" style="1" customWidth="1"/>
    <col min="13056" max="13056" width="53.5703125" style="1" customWidth="1"/>
    <col min="13057" max="13057" width="6.28515625" style="1" customWidth="1"/>
    <col min="13058" max="13058" width="8.28515625" style="1" customWidth="1"/>
    <col min="13059" max="13059" width="12.7109375" style="1" customWidth="1"/>
    <col min="13060" max="13060" width="10.85546875" style="1" customWidth="1"/>
    <col min="13061" max="13061" width="9.5703125" style="1" customWidth="1"/>
    <col min="13062" max="13062" width="11.140625" style="1" customWidth="1"/>
    <col min="13063" max="13063" width="13.140625" style="1" customWidth="1"/>
    <col min="13064" max="13310" width="9.140625" style="1"/>
    <col min="13311" max="13311" width="4.7109375" style="1" customWidth="1"/>
    <col min="13312" max="13312" width="53.5703125" style="1" customWidth="1"/>
    <col min="13313" max="13313" width="6.28515625" style="1" customWidth="1"/>
    <col min="13314" max="13314" width="8.28515625" style="1" customWidth="1"/>
    <col min="13315" max="13315" width="12.7109375" style="1" customWidth="1"/>
    <col min="13316" max="13316" width="10.85546875" style="1" customWidth="1"/>
    <col min="13317" max="13317" width="9.5703125" style="1" customWidth="1"/>
    <col min="13318" max="13318" width="11.140625" style="1" customWidth="1"/>
    <col min="13319" max="13319" width="13.140625" style="1" customWidth="1"/>
    <col min="13320" max="13566" width="9.140625" style="1"/>
    <col min="13567" max="13567" width="4.7109375" style="1" customWidth="1"/>
    <col min="13568" max="13568" width="53.5703125" style="1" customWidth="1"/>
    <col min="13569" max="13569" width="6.28515625" style="1" customWidth="1"/>
    <col min="13570" max="13570" width="8.28515625" style="1" customWidth="1"/>
    <col min="13571" max="13571" width="12.7109375" style="1" customWidth="1"/>
    <col min="13572" max="13572" width="10.85546875" style="1" customWidth="1"/>
    <col min="13573" max="13573" width="9.5703125" style="1" customWidth="1"/>
    <col min="13574" max="13574" width="11.140625" style="1" customWidth="1"/>
    <col min="13575" max="13575" width="13.140625" style="1" customWidth="1"/>
    <col min="13576" max="13822" width="9.140625" style="1"/>
    <col min="13823" max="13823" width="4.7109375" style="1" customWidth="1"/>
    <col min="13824" max="13824" width="53.5703125" style="1" customWidth="1"/>
    <col min="13825" max="13825" width="6.28515625" style="1" customWidth="1"/>
    <col min="13826" max="13826" width="8.28515625" style="1" customWidth="1"/>
    <col min="13827" max="13827" width="12.7109375" style="1" customWidth="1"/>
    <col min="13828" max="13828" width="10.85546875" style="1" customWidth="1"/>
    <col min="13829" max="13829" width="9.5703125" style="1" customWidth="1"/>
    <col min="13830" max="13830" width="11.140625" style="1" customWidth="1"/>
    <col min="13831" max="13831" width="13.140625" style="1" customWidth="1"/>
    <col min="13832" max="14078" width="9.140625" style="1"/>
    <col min="14079" max="14079" width="4.7109375" style="1" customWidth="1"/>
    <col min="14080" max="14080" width="53.5703125" style="1" customWidth="1"/>
    <col min="14081" max="14081" width="6.28515625" style="1" customWidth="1"/>
    <col min="14082" max="14082" width="8.28515625" style="1" customWidth="1"/>
    <col min="14083" max="14083" width="12.7109375" style="1" customWidth="1"/>
    <col min="14084" max="14084" width="10.85546875" style="1" customWidth="1"/>
    <col min="14085" max="14085" width="9.5703125" style="1" customWidth="1"/>
    <col min="14086" max="14086" width="11.140625" style="1" customWidth="1"/>
    <col min="14087" max="14087" width="13.140625" style="1" customWidth="1"/>
    <col min="14088" max="14334" width="9.140625" style="1"/>
    <col min="14335" max="14335" width="4.7109375" style="1" customWidth="1"/>
    <col min="14336" max="14336" width="53.5703125" style="1" customWidth="1"/>
    <col min="14337" max="14337" width="6.28515625" style="1" customWidth="1"/>
    <col min="14338" max="14338" width="8.28515625" style="1" customWidth="1"/>
    <col min="14339" max="14339" width="12.7109375" style="1" customWidth="1"/>
    <col min="14340" max="14340" width="10.85546875" style="1" customWidth="1"/>
    <col min="14341" max="14341" width="9.5703125" style="1" customWidth="1"/>
    <col min="14342" max="14342" width="11.140625" style="1" customWidth="1"/>
    <col min="14343" max="14343" width="13.140625" style="1" customWidth="1"/>
    <col min="14344" max="14590" width="9.140625" style="1"/>
    <col min="14591" max="14591" width="4.7109375" style="1" customWidth="1"/>
    <col min="14592" max="14592" width="53.5703125" style="1" customWidth="1"/>
    <col min="14593" max="14593" width="6.28515625" style="1" customWidth="1"/>
    <col min="14594" max="14594" width="8.28515625" style="1" customWidth="1"/>
    <col min="14595" max="14595" width="12.7109375" style="1" customWidth="1"/>
    <col min="14596" max="14596" width="10.85546875" style="1" customWidth="1"/>
    <col min="14597" max="14597" width="9.5703125" style="1" customWidth="1"/>
    <col min="14598" max="14598" width="11.140625" style="1" customWidth="1"/>
    <col min="14599" max="14599" width="13.140625" style="1" customWidth="1"/>
    <col min="14600" max="14846" width="9.140625" style="1"/>
    <col min="14847" max="14847" width="4.7109375" style="1" customWidth="1"/>
    <col min="14848" max="14848" width="53.5703125" style="1" customWidth="1"/>
    <col min="14849" max="14849" width="6.28515625" style="1" customWidth="1"/>
    <col min="14850" max="14850" width="8.28515625" style="1" customWidth="1"/>
    <col min="14851" max="14851" width="12.7109375" style="1" customWidth="1"/>
    <col min="14852" max="14852" width="10.85546875" style="1" customWidth="1"/>
    <col min="14853" max="14853" width="9.5703125" style="1" customWidth="1"/>
    <col min="14854" max="14854" width="11.140625" style="1" customWidth="1"/>
    <col min="14855" max="14855" width="13.140625" style="1" customWidth="1"/>
    <col min="14856" max="15102" width="9.140625" style="1"/>
    <col min="15103" max="15103" width="4.7109375" style="1" customWidth="1"/>
    <col min="15104" max="15104" width="53.5703125" style="1" customWidth="1"/>
    <col min="15105" max="15105" width="6.28515625" style="1" customWidth="1"/>
    <col min="15106" max="15106" width="8.28515625" style="1" customWidth="1"/>
    <col min="15107" max="15107" width="12.7109375" style="1" customWidth="1"/>
    <col min="15108" max="15108" width="10.85546875" style="1" customWidth="1"/>
    <col min="15109" max="15109" width="9.5703125" style="1" customWidth="1"/>
    <col min="15110" max="15110" width="11.140625" style="1" customWidth="1"/>
    <col min="15111" max="15111" width="13.140625" style="1" customWidth="1"/>
    <col min="15112" max="15358" width="9.140625" style="1"/>
    <col min="15359" max="15359" width="4.7109375" style="1" customWidth="1"/>
    <col min="15360" max="15360" width="53.5703125" style="1" customWidth="1"/>
    <col min="15361" max="15361" width="6.28515625" style="1" customWidth="1"/>
    <col min="15362" max="15362" width="8.28515625" style="1" customWidth="1"/>
    <col min="15363" max="15363" width="12.7109375" style="1" customWidth="1"/>
    <col min="15364" max="15364" width="10.85546875" style="1" customWidth="1"/>
    <col min="15365" max="15365" width="9.5703125" style="1" customWidth="1"/>
    <col min="15366" max="15366" width="11.140625" style="1" customWidth="1"/>
    <col min="15367" max="15367" width="13.140625" style="1" customWidth="1"/>
    <col min="15368" max="15614" width="9.140625" style="1"/>
    <col min="15615" max="15615" width="4.7109375" style="1" customWidth="1"/>
    <col min="15616" max="15616" width="53.5703125" style="1" customWidth="1"/>
    <col min="15617" max="15617" width="6.28515625" style="1" customWidth="1"/>
    <col min="15618" max="15618" width="8.28515625" style="1" customWidth="1"/>
    <col min="15619" max="15619" width="12.7109375" style="1" customWidth="1"/>
    <col min="15620" max="15620" width="10.85546875" style="1" customWidth="1"/>
    <col min="15621" max="15621" width="9.5703125" style="1" customWidth="1"/>
    <col min="15622" max="15622" width="11.140625" style="1" customWidth="1"/>
    <col min="15623" max="15623" width="13.140625" style="1" customWidth="1"/>
    <col min="15624" max="15870" width="9.140625" style="1"/>
    <col min="15871" max="15871" width="4.7109375" style="1" customWidth="1"/>
    <col min="15872" max="15872" width="53.5703125" style="1" customWidth="1"/>
    <col min="15873" max="15873" width="6.28515625" style="1" customWidth="1"/>
    <col min="15874" max="15874" width="8.28515625" style="1" customWidth="1"/>
    <col min="15875" max="15875" width="12.7109375" style="1" customWidth="1"/>
    <col min="15876" max="15876" width="10.85546875" style="1" customWidth="1"/>
    <col min="15877" max="15877" width="9.5703125" style="1" customWidth="1"/>
    <col min="15878" max="15878" width="11.140625" style="1" customWidth="1"/>
    <col min="15879" max="15879" width="13.140625" style="1" customWidth="1"/>
    <col min="15880" max="16126" width="9.140625" style="1"/>
    <col min="16127" max="16127" width="4.7109375" style="1" customWidth="1"/>
    <col min="16128" max="16128" width="53.5703125" style="1" customWidth="1"/>
    <col min="16129" max="16129" width="6.28515625" style="1" customWidth="1"/>
    <col min="16130" max="16130" width="8.28515625" style="1" customWidth="1"/>
    <col min="16131" max="16131" width="12.7109375" style="1" customWidth="1"/>
    <col min="16132" max="16132" width="10.85546875" style="1" customWidth="1"/>
    <col min="16133" max="16133" width="9.5703125" style="1" customWidth="1"/>
    <col min="16134" max="16134" width="11.140625" style="1" customWidth="1"/>
    <col min="16135" max="16135" width="13.140625" style="1" customWidth="1"/>
    <col min="16136" max="16382" width="9.140625" style="1"/>
    <col min="16383" max="16383" width="9.140625" style="1" customWidth="1"/>
    <col min="16384" max="16384" width="9.140625" style="1"/>
  </cols>
  <sheetData>
    <row r="1" spans="1:8" ht="6" customHeight="1">
      <c r="A1" s="522"/>
      <c r="B1" s="522"/>
      <c r="C1" s="522"/>
      <c r="D1" s="522"/>
      <c r="E1" s="522"/>
      <c r="F1" s="522"/>
      <c r="G1" s="522"/>
      <c r="H1" s="522"/>
    </row>
    <row r="2" spans="1:8" ht="15.75" customHeight="1">
      <c r="A2" s="523" t="s">
        <v>85</v>
      </c>
      <c r="B2" s="523"/>
      <c r="C2" s="523"/>
      <c r="D2" s="523"/>
      <c r="E2" s="523"/>
      <c r="F2" s="523"/>
      <c r="G2" s="523"/>
      <c r="H2" s="523"/>
    </row>
    <row r="3" spans="1:8" ht="9" customHeight="1">
      <c r="A3" s="109"/>
      <c r="B3" s="109"/>
      <c r="C3" s="109"/>
      <c r="D3" s="109"/>
      <c r="E3" s="110"/>
      <c r="F3" s="111"/>
      <c r="G3" s="111"/>
      <c r="H3" s="111"/>
    </row>
    <row r="4" spans="1:8">
      <c r="A4" s="17"/>
      <c r="B4" s="67" t="s">
        <v>86</v>
      </c>
      <c r="C4" s="17"/>
      <c r="D4" s="112"/>
      <c r="E4" s="113"/>
      <c r="F4" s="114"/>
      <c r="G4" s="114"/>
      <c r="H4" s="114"/>
    </row>
    <row r="5" spans="1:8">
      <c r="A5" s="17"/>
      <c r="B5" s="70" t="s">
        <v>0</v>
      </c>
      <c r="C5" s="115"/>
      <c r="D5" s="116"/>
      <c r="E5" s="117"/>
      <c r="F5" s="118"/>
      <c r="G5" s="114"/>
      <c r="H5" s="114"/>
    </row>
    <row r="6" spans="1:8">
      <c r="A6" s="119"/>
      <c r="B6" s="70" t="s">
        <v>112</v>
      </c>
      <c r="C6" s="115"/>
      <c r="D6" s="120"/>
      <c r="E6" s="121"/>
      <c r="F6" s="122"/>
      <c r="G6" s="114"/>
      <c r="H6" s="114"/>
    </row>
    <row r="7" spans="1:8">
      <c r="A7" s="17"/>
      <c r="B7" s="70" t="s">
        <v>281</v>
      </c>
      <c r="C7" s="115"/>
      <c r="D7" s="120"/>
      <c r="E7" s="121"/>
      <c r="F7" s="122"/>
      <c r="G7" s="114"/>
      <c r="H7" s="114"/>
    </row>
    <row r="8" spans="1:8">
      <c r="A8" s="17"/>
      <c r="B8" s="4" t="s">
        <v>172</v>
      </c>
      <c r="C8" s="123"/>
      <c r="D8" s="120"/>
      <c r="E8" s="121"/>
      <c r="F8" s="122"/>
      <c r="G8" s="114"/>
      <c r="H8" s="114"/>
    </row>
    <row r="9" spans="1:8">
      <c r="A9" s="17"/>
      <c r="B9" s="70" t="s">
        <v>87</v>
      </c>
      <c r="C9" s="115"/>
      <c r="D9" s="120"/>
      <c r="E9" s="121"/>
      <c r="F9" s="122"/>
      <c r="G9" s="114"/>
      <c r="H9" s="114"/>
    </row>
    <row r="10" spans="1:8" ht="12.75" customHeight="1">
      <c r="A10" s="124"/>
      <c r="B10" s="70" t="s">
        <v>460</v>
      </c>
      <c r="C10" s="125" t="s">
        <v>1</v>
      </c>
      <c r="D10" s="126">
        <v>0.25</v>
      </c>
      <c r="E10" s="127"/>
      <c r="F10" s="128"/>
      <c r="G10" s="128"/>
      <c r="H10" s="128"/>
    </row>
    <row r="11" spans="1:8" ht="7.5" customHeight="1">
      <c r="B11" s="69"/>
      <c r="C11" s="69"/>
      <c r="D11" s="69"/>
      <c r="E11" s="129"/>
      <c r="F11" s="130"/>
      <c r="G11" s="131"/>
      <c r="H11" s="131"/>
    </row>
    <row r="12" spans="1:8" s="15" customFormat="1" ht="22.5">
      <c r="A12" s="133" t="s">
        <v>2</v>
      </c>
      <c r="B12" s="133" t="s">
        <v>3</v>
      </c>
      <c r="C12" s="133" t="s">
        <v>4</v>
      </c>
      <c r="D12" s="134" t="s">
        <v>5</v>
      </c>
      <c r="E12" s="326" t="s">
        <v>253</v>
      </c>
      <c r="F12" s="135" t="s">
        <v>6</v>
      </c>
      <c r="G12" s="135" t="s">
        <v>7</v>
      </c>
      <c r="H12" s="135" t="s">
        <v>8</v>
      </c>
    </row>
    <row r="13" spans="1:8" s="17" customFormat="1">
      <c r="A13" s="136"/>
      <c r="B13" s="137"/>
      <c r="C13" s="137"/>
      <c r="D13" s="138"/>
      <c r="E13" s="139"/>
      <c r="F13" s="140"/>
      <c r="G13" s="141"/>
      <c r="H13" s="142"/>
    </row>
    <row r="14" spans="1:8" s="19" customFormat="1" ht="11.25" customHeight="1">
      <c r="A14" s="143" t="s">
        <v>9</v>
      </c>
      <c r="B14" s="528" t="s">
        <v>10</v>
      </c>
      <c r="C14" s="529"/>
      <c r="D14" s="529"/>
      <c r="E14" s="529"/>
      <c r="F14" s="529"/>
      <c r="G14" s="530"/>
      <c r="H14" s="148">
        <f>SUM(H15:H18)</f>
        <v>8037.69</v>
      </c>
    </row>
    <row r="15" spans="1:8" s="51" customFormat="1" ht="11.25" customHeight="1">
      <c r="A15" s="144" t="s">
        <v>11</v>
      </c>
      <c r="B15" s="149" t="str">
        <f>M_Calculo!B15</f>
        <v>PLACA DE OBRA</v>
      </c>
      <c r="C15" s="144" t="s">
        <v>12</v>
      </c>
      <c r="D15" s="145">
        <f>M_Calculo!D15</f>
        <v>6</v>
      </c>
      <c r="E15" s="150" t="s">
        <v>66</v>
      </c>
      <c r="F15" s="146">
        <v>281.08999999999997</v>
      </c>
      <c r="G15" s="147">
        <f t="shared" ref="G15:G18" si="0">F15*(1+$D$10)</f>
        <v>351.36249999999995</v>
      </c>
      <c r="H15" s="147">
        <f t="shared" ref="H15:H17" si="1">ROUND(D15*G15,2)</f>
        <v>2108.1799999999998</v>
      </c>
    </row>
    <row r="16" spans="1:8" s="51" customFormat="1">
      <c r="A16" s="144" t="s">
        <v>13</v>
      </c>
      <c r="B16" s="149" t="str">
        <f>M_Calculo!B16</f>
        <v>ALUGUEL CONTAINER</v>
      </c>
      <c r="C16" s="151" t="s">
        <v>151</v>
      </c>
      <c r="D16" s="145">
        <f>M_Calculo!D16</f>
        <v>3</v>
      </c>
      <c r="E16" s="153" t="s">
        <v>150</v>
      </c>
      <c r="F16" s="146">
        <v>507.81</v>
      </c>
      <c r="G16" s="147">
        <f t="shared" si="0"/>
        <v>634.76250000000005</v>
      </c>
      <c r="H16" s="147">
        <f t="shared" si="1"/>
        <v>1904.29</v>
      </c>
    </row>
    <row r="17" spans="1:9" s="51" customFormat="1" ht="22.5">
      <c r="A17" s="144" t="s">
        <v>14</v>
      </c>
      <c r="B17" s="149" t="str">
        <f>M_Calculo!B17</f>
        <v>LIMPEZA MECANIZADA DE TERRENO COM REMOCAO DE CAMADA VEGETAL, UTILIZANDO MOTONIVELADORA</v>
      </c>
      <c r="C17" s="144" t="s">
        <v>12</v>
      </c>
      <c r="D17" s="145">
        <f>M_Calculo!D17</f>
        <v>3504</v>
      </c>
      <c r="E17" s="150" t="s">
        <v>68</v>
      </c>
      <c r="F17" s="146">
        <v>0.46</v>
      </c>
      <c r="G17" s="147">
        <f t="shared" si="0"/>
        <v>0.57500000000000007</v>
      </c>
      <c r="H17" s="147">
        <f t="shared" si="1"/>
        <v>2014.8</v>
      </c>
    </row>
    <row r="18" spans="1:9" s="60" customFormat="1">
      <c r="A18" s="144" t="s">
        <v>53</v>
      </c>
      <c r="B18" s="149" t="str">
        <f>M_Calculo!B18</f>
        <v>TRANSPORTE E BOTA FORA MATERIAL DE QUALQUER NATUREZA DMT 5 KM</v>
      </c>
      <c r="C18" s="151" t="s">
        <v>90</v>
      </c>
      <c r="D18" s="145">
        <f>M_Calculo!D18</f>
        <v>350.40000000000003</v>
      </c>
      <c r="E18" s="150">
        <v>72899</v>
      </c>
      <c r="F18" s="146">
        <v>4.59</v>
      </c>
      <c r="G18" s="147">
        <f t="shared" si="0"/>
        <v>5.7374999999999998</v>
      </c>
      <c r="H18" s="147">
        <f>ROUND(D18*G18,2)</f>
        <v>2010.42</v>
      </c>
    </row>
    <row r="19" spans="1:9" s="60" customFormat="1" ht="9" customHeight="1">
      <c r="A19" s="154"/>
      <c r="B19" s="155"/>
      <c r="C19" s="156"/>
      <c r="D19" s="157"/>
      <c r="E19" s="158"/>
      <c r="F19" s="159"/>
      <c r="G19" s="107"/>
      <c r="H19" s="160"/>
    </row>
    <row r="20" spans="1:9" s="60" customFormat="1">
      <c r="A20" s="143" t="s">
        <v>15</v>
      </c>
      <c r="B20" s="528" t="s">
        <v>102</v>
      </c>
      <c r="C20" s="529"/>
      <c r="D20" s="529"/>
      <c r="E20" s="529"/>
      <c r="F20" s="529"/>
      <c r="G20" s="530"/>
      <c r="H20" s="148">
        <f>SUM(H21:H33)</f>
        <v>143367.61999999997</v>
      </c>
    </row>
    <row r="21" spans="1:9" s="60" customFormat="1">
      <c r="A21" s="144" t="s">
        <v>16</v>
      </c>
      <c r="B21" s="149" t="str">
        <f>M_Calculo!B21</f>
        <v>ESCAVACAO MANUAL DE VALAS EM TERRA COMPACTA, PROF. DE 0 M &lt; H &lt;= 1 M</v>
      </c>
      <c r="C21" s="144" t="s">
        <v>17</v>
      </c>
      <c r="D21" s="161">
        <f>M_Calculo!D21</f>
        <v>18.467999999999996</v>
      </c>
      <c r="E21" s="150">
        <v>73481</v>
      </c>
      <c r="F21" s="146">
        <v>23.61</v>
      </c>
      <c r="G21" s="147">
        <f t="shared" ref="G21" si="2">F21*(1+$D$10)</f>
        <v>29.512499999999999</v>
      </c>
      <c r="H21" s="147">
        <f>ROUND(D21*G21,2)</f>
        <v>545.04</v>
      </c>
    </row>
    <row r="22" spans="1:9" s="60" customFormat="1" ht="33.75">
      <c r="A22" s="144" t="s">
        <v>18</v>
      </c>
      <c r="B22" s="149" t="str">
        <f>M_Calculo!B22</f>
        <v>ALVENARIA EM TIJOLO CERAMICO FURADO 9X19X19CM, 1 VEZ (ESPESSURA 19 CM), ASSENTADO EM ARGAMASSA TRACO 1:4 (CIMENTO E AREIA MEDIA NAO PENEIRADA), PREPARO MANUAL, JUNTA1 CM</v>
      </c>
      <c r="C22" s="144" t="s">
        <v>12</v>
      </c>
      <c r="D22" s="162">
        <f>M_Calculo!D22</f>
        <v>38.988</v>
      </c>
      <c r="E22" s="150" t="s">
        <v>72</v>
      </c>
      <c r="F22" s="146">
        <v>47.98</v>
      </c>
      <c r="G22" s="147">
        <f>F22*(1+$D$10)</f>
        <v>59.974999999999994</v>
      </c>
      <c r="H22" s="147">
        <f t="shared" ref="H22:H25" si="3">ROUND(D22*G22,2)</f>
        <v>2338.31</v>
      </c>
    </row>
    <row r="23" spans="1:9" s="60" customFormat="1" ht="33.75">
      <c r="A23" s="144" t="s">
        <v>55</v>
      </c>
      <c r="B23" s="152" t="str">
        <f>M_Calculo!$B$23</f>
        <v xml:space="preserve">ALVENARIA DE VEDAÇÃO DE BLOCOS CERÂMICOS FURADOS NA VERTICAL DE 9X19X3 9CM (ESPESSURA 9CM) DE PAREDES COM ÁREA LÍQUIDA MAIOR OU IGUAL A 6M² SEM VÃOS E ARGAMASSA DE ASSENTAMENTO COM PREPARO EM BETONEIRA. </v>
      </c>
      <c r="C23" s="144" t="s">
        <v>12</v>
      </c>
      <c r="D23" s="162">
        <f>M_Calculo!D23</f>
        <v>76.69</v>
      </c>
      <c r="E23" s="150">
        <v>87477</v>
      </c>
      <c r="F23" s="146">
        <v>24.41</v>
      </c>
      <c r="G23" s="147">
        <f>F23*(1+$D$10)</f>
        <v>30.512499999999999</v>
      </c>
      <c r="H23" s="147">
        <f t="shared" si="3"/>
        <v>2340</v>
      </c>
    </row>
    <row r="24" spans="1:9" s="60" customFormat="1" ht="22.5">
      <c r="A24" s="144" t="s">
        <v>56</v>
      </c>
      <c r="B24" s="149" t="str">
        <f>M_Calculo!B24</f>
        <v>CONTRAPISO/LASTRO DE CONCRETO NAO-ESTRUTURAL, E=5CM, PREPARO COM BETONEIRA</v>
      </c>
      <c r="C24" s="151" t="s">
        <v>12</v>
      </c>
      <c r="D24" s="163">
        <f>M_Calculo!D24</f>
        <v>685.221</v>
      </c>
      <c r="E24" s="150" t="s">
        <v>73</v>
      </c>
      <c r="F24" s="146">
        <v>21.09</v>
      </c>
      <c r="G24" s="147">
        <f t="shared" ref="G24:G25" si="4">F24*(1+$D$10)</f>
        <v>26.362500000000001</v>
      </c>
      <c r="H24" s="147">
        <f t="shared" si="3"/>
        <v>18064.14</v>
      </c>
      <c r="I24" s="180"/>
    </row>
    <row r="25" spans="1:9" s="60" customFormat="1">
      <c r="A25" s="144" t="s">
        <v>556</v>
      </c>
      <c r="B25" s="149" t="str">
        <f>M_Calculo!B25</f>
        <v xml:space="preserve">REBOCO ARGAMASSA TRACO 1:2 </v>
      </c>
      <c r="C25" s="151" t="s">
        <v>12</v>
      </c>
      <c r="D25" s="163">
        <f>M_Calculo!D25</f>
        <v>233.67999999999998</v>
      </c>
      <c r="E25" s="150">
        <v>75481</v>
      </c>
      <c r="F25" s="146">
        <v>10.97</v>
      </c>
      <c r="G25" s="147">
        <f t="shared" si="4"/>
        <v>13.7125</v>
      </c>
      <c r="H25" s="147">
        <f t="shared" si="3"/>
        <v>3204.34</v>
      </c>
    </row>
    <row r="26" spans="1:9" s="60" customFormat="1">
      <c r="A26" s="144" t="s">
        <v>135</v>
      </c>
      <c r="B26" s="149" t="s">
        <v>410</v>
      </c>
      <c r="C26" s="144" t="s">
        <v>12</v>
      </c>
      <c r="D26" s="162">
        <f>M_Calculo!D26</f>
        <v>5</v>
      </c>
      <c r="E26" s="150" t="s">
        <v>152</v>
      </c>
      <c r="F26" s="146">
        <v>337.33</v>
      </c>
      <c r="G26" s="147">
        <f t="shared" ref="G26" si="5">F26*(1+$D$10)</f>
        <v>421.66249999999997</v>
      </c>
      <c r="H26" s="147">
        <f>ROUND(D26*G26,2)</f>
        <v>2108.31</v>
      </c>
    </row>
    <row r="27" spans="1:9" s="60" customFormat="1">
      <c r="A27" s="144" t="s">
        <v>138</v>
      </c>
      <c r="B27" s="149" t="str">
        <f>M_Calculo!B27</f>
        <v>PINTURA A OLEO, 2 DEMAOS</v>
      </c>
      <c r="C27" s="144" t="s">
        <v>12</v>
      </c>
      <c r="D27" s="162">
        <f>M_Calculo!D27</f>
        <v>5</v>
      </c>
      <c r="E27" s="150">
        <v>79464</v>
      </c>
      <c r="F27" s="146">
        <v>11.2</v>
      </c>
      <c r="G27" s="147">
        <f t="shared" ref="G27" si="6">F27*(1+$D$10)</f>
        <v>14</v>
      </c>
      <c r="H27" s="147">
        <f>ROUND(D27*G27,2)</f>
        <v>70</v>
      </c>
    </row>
    <row r="28" spans="1:9" s="60" customFormat="1">
      <c r="A28" s="144" t="s">
        <v>139</v>
      </c>
      <c r="B28" s="149" t="str">
        <f>M_Calculo!B28</f>
        <v>REATERRO MANUAL COM APILOAMENTO MECANICO</v>
      </c>
      <c r="C28" s="151" t="s">
        <v>17</v>
      </c>
      <c r="D28" s="162">
        <f>M_Calculo!D28</f>
        <v>68.522100000000009</v>
      </c>
      <c r="E28" s="150">
        <v>79488</v>
      </c>
      <c r="F28" s="146">
        <v>5.33</v>
      </c>
      <c r="G28" s="147">
        <f t="shared" ref="G28" si="7">F28*(1+$D$10)</f>
        <v>6.6624999999999996</v>
      </c>
      <c r="H28" s="147">
        <f t="shared" ref="H28" si="8">ROUND(D28*G28,2)</f>
        <v>456.53</v>
      </c>
    </row>
    <row r="29" spans="1:9" s="60" customFormat="1" ht="33.75">
      <c r="A29" s="144" t="s">
        <v>140</v>
      </c>
      <c r="B29" s="149" t="str">
        <f>M_Calculo!B29</f>
        <v>MEIO-FIO (GUIA) DE CONCRETO PRE-MOLDADO, DIMENSÕES 12X15X30X100CM,REJUNTADO C/ARGAMASSA 1:4 CIMENTO:AREIA, INCLUINDO ESCAVAÇÃO E REATERRO.</v>
      </c>
      <c r="C29" s="151" t="s">
        <v>39</v>
      </c>
      <c r="D29" s="163">
        <f>M_Calculo!$D$29</f>
        <v>480.30999000000003</v>
      </c>
      <c r="E29" s="150" t="s">
        <v>468</v>
      </c>
      <c r="F29" s="146">
        <v>36.86</v>
      </c>
      <c r="G29" s="147">
        <f t="shared" ref="G29" si="9">F29*(1+$D$10)</f>
        <v>46.075000000000003</v>
      </c>
      <c r="H29" s="147">
        <f t="shared" ref="H29" si="10">ROUND(D29*G29,2)</f>
        <v>22130.28</v>
      </c>
    </row>
    <row r="30" spans="1:9" s="60" customFormat="1">
      <c r="A30" s="144" t="s">
        <v>141</v>
      </c>
      <c r="B30" s="149" t="str">
        <f>M_Calculo!B30</f>
        <v xml:space="preserve">CONCRETO ARMADO FCK=15MPA, </v>
      </c>
      <c r="C30" s="151" t="s">
        <v>17</v>
      </c>
      <c r="D30" s="163">
        <f>M_Calculo!D30</f>
        <v>2.2242599999999997</v>
      </c>
      <c r="E30" s="150" t="s">
        <v>117</v>
      </c>
      <c r="F30" s="146">
        <v>330.95</v>
      </c>
      <c r="G30" s="147">
        <f t="shared" ref="G30" si="11">F30*(1+$D$10)</f>
        <v>413.6875</v>
      </c>
      <c r="H30" s="147">
        <f t="shared" ref="H30" si="12">ROUND(D30*G30,2)</f>
        <v>920.15</v>
      </c>
    </row>
    <row r="31" spans="1:9" s="60" customFormat="1" ht="33.75">
      <c r="A31" s="144" t="s">
        <v>142</v>
      </c>
      <c r="B31" s="149" t="str">
        <f>M_Calculo!B31</f>
        <v>ALAMBRADO PARA QUADRA POLIESPORTIVA, ESTRUTURADO POR TUBOS DE ACO GALVANIZADO, COM COSTURA, DIN 2440, DIAMETRO 2", COM TELA DE ARAME GALVANIZADO, FIO 14 BWG E MALHA QUADRADA 5X5CM</v>
      </c>
      <c r="C31" s="151" t="s">
        <v>12</v>
      </c>
      <c r="D31" s="163">
        <f>M_Calculo!D31</f>
        <v>775.92</v>
      </c>
      <c r="E31" s="150" t="s">
        <v>122</v>
      </c>
      <c r="F31" s="146">
        <v>89.47</v>
      </c>
      <c r="G31" s="147">
        <f t="shared" ref="G31" si="13">F31*(1+$D$10)</f>
        <v>111.83750000000001</v>
      </c>
      <c r="H31" s="147">
        <f t="shared" ref="H31" si="14">ROUND(D31*G31,2)</f>
        <v>86776.95</v>
      </c>
    </row>
    <row r="32" spans="1:9" s="60" customFormat="1" ht="22.5">
      <c r="A32" s="144" t="s">
        <v>143</v>
      </c>
      <c r="B32" s="492" t="str">
        <f>M_Calculo!$B$32</f>
        <v xml:space="preserve"> PINTURA A OLEO BRILHANTE SOBRE SUPERFICIE METALICA, UMA DEMAO INCLUSO 
UMA DEMAO DE FUNDO ANTICORROSIVO</v>
      </c>
      <c r="C32" s="151" t="s">
        <v>12</v>
      </c>
      <c r="D32" s="163">
        <f>M_Calculo!D32</f>
        <v>232.77799999999999</v>
      </c>
      <c r="E32" s="150" t="s">
        <v>491</v>
      </c>
      <c r="F32" s="146">
        <v>10.41</v>
      </c>
      <c r="G32" s="147">
        <f t="shared" ref="G32" si="15">F32*(1+$D$10)</f>
        <v>13.012499999999999</v>
      </c>
      <c r="H32" s="147">
        <f t="shared" ref="H32" si="16">ROUND(D32*G32,2)</f>
        <v>3029.02</v>
      </c>
    </row>
    <row r="33" spans="1:8" s="60" customFormat="1">
      <c r="A33" s="144" t="s">
        <v>416</v>
      </c>
      <c r="B33" s="149" t="str">
        <f>M_Calculo!B33</f>
        <v>PINTURA COM TINTA EM PO INDUSTRIALIZADA A BASE DE CAL, DUAS DEMAOS</v>
      </c>
      <c r="C33" s="151" t="s">
        <v>12</v>
      </c>
      <c r="D33" s="163">
        <f>M_Calculo!D33</f>
        <v>233.6799</v>
      </c>
      <c r="E33" s="153" t="s">
        <v>520</v>
      </c>
      <c r="F33" s="146">
        <v>4.74</v>
      </c>
      <c r="G33" s="147">
        <f t="shared" ref="G33" si="17">F33*(1+$D$10)</f>
        <v>5.9250000000000007</v>
      </c>
      <c r="H33" s="147">
        <f t="shared" ref="H33" si="18">ROUND(D33*G33,2)</f>
        <v>1384.55</v>
      </c>
    </row>
    <row r="34" spans="1:8" s="17" customFormat="1" ht="7.5" customHeight="1">
      <c r="A34" s="136"/>
      <c r="B34" s="137"/>
      <c r="C34" s="137"/>
      <c r="D34" s="137"/>
      <c r="E34" s="164"/>
      <c r="F34" s="137"/>
      <c r="G34" s="141"/>
      <c r="H34" s="142"/>
    </row>
    <row r="35" spans="1:8" s="19" customFormat="1" ht="11.25" customHeight="1">
      <c r="A35" s="143" t="s">
        <v>19</v>
      </c>
      <c r="B35" s="528" t="s">
        <v>57</v>
      </c>
      <c r="C35" s="529"/>
      <c r="D35" s="529"/>
      <c r="E35" s="529"/>
      <c r="F35" s="529"/>
      <c r="G35" s="530"/>
      <c r="H35" s="148">
        <f>SUM(H36:H42)</f>
        <v>12166.25</v>
      </c>
    </row>
    <row r="36" spans="1:8" s="51" customFormat="1" ht="11.25" customHeight="1">
      <c r="A36" s="144" t="s">
        <v>20</v>
      </c>
      <c r="B36" s="149" t="str">
        <f>M_Calculo!B36</f>
        <v>ESCAVACAO MANUAL DE VALAS EM TERRA COMPACTA, PROF. DE 0 M &lt; H &lt;= 1 M</v>
      </c>
      <c r="C36" s="144" t="str">
        <f>M_Calculo!C36</f>
        <v>m³</v>
      </c>
      <c r="D36" s="145">
        <f>M_Calculo!D36</f>
        <v>27.71520000000001</v>
      </c>
      <c r="E36" s="150">
        <v>73481</v>
      </c>
      <c r="F36" s="146">
        <v>23.61</v>
      </c>
      <c r="G36" s="147">
        <f>F36*(1+$D$10)</f>
        <v>29.512499999999999</v>
      </c>
      <c r="H36" s="147">
        <f t="shared" ref="H36:H40" si="19">ROUND(D36*G36,2)</f>
        <v>817.94</v>
      </c>
    </row>
    <row r="37" spans="1:8" s="51" customFormat="1" ht="33.75">
      <c r="A37" s="144" t="s">
        <v>21</v>
      </c>
      <c r="B37" s="149" t="str">
        <f>M_Calculo!B37</f>
        <v xml:space="preserve">ALVENARIA DE VEDAÇÃO DE BLOCOS CERÂMICOS FURADOS NA VERTICAL DE 9X19X3 9CM (ESPESSURA 9CM) DE PAREDES COM ÁREA LÍQUIDA MAIOR OU IGUAL A 6M² SEM VÃOS E ARGAMASSA DE ASSENTAMENTO COM PREPARO EM BETONEIRA. </v>
      </c>
      <c r="C37" s="144" t="str">
        <f>M_Calculo!C37</f>
        <v>m²</v>
      </c>
      <c r="D37" s="145">
        <f>M_Calculo!D37</f>
        <v>157.81800000000001</v>
      </c>
      <c r="E37" s="150">
        <v>87477</v>
      </c>
      <c r="F37" s="146">
        <v>24.41</v>
      </c>
      <c r="G37" s="147">
        <f>F37*(1+$D$10)</f>
        <v>30.512499999999999</v>
      </c>
      <c r="H37" s="147">
        <f t="shared" si="19"/>
        <v>4815.42</v>
      </c>
    </row>
    <row r="38" spans="1:8" s="51" customFormat="1">
      <c r="A38" s="144" t="s">
        <v>22</v>
      </c>
      <c r="B38" s="149" t="str">
        <f>M_Calculo!B38</f>
        <v xml:space="preserve">CONCRETO ARMADO FCK=15MPA, </v>
      </c>
      <c r="C38" s="144" t="str">
        <f>M_Calculo!C38</f>
        <v>m³</v>
      </c>
      <c r="D38" s="145">
        <f>M_Calculo!D38</f>
        <v>0.34748999999999997</v>
      </c>
      <c r="E38" s="150" t="s">
        <v>117</v>
      </c>
      <c r="F38" s="146">
        <v>330.95</v>
      </c>
      <c r="G38" s="147">
        <f>F38*(1+$D$10)</f>
        <v>413.6875</v>
      </c>
      <c r="H38" s="147">
        <f t="shared" ref="H38" si="20">ROUND(D38*G38,2)</f>
        <v>143.75</v>
      </c>
    </row>
    <row r="39" spans="1:8" s="51" customFormat="1" ht="11.25" customHeight="1">
      <c r="A39" s="144" t="s">
        <v>23</v>
      </c>
      <c r="B39" s="149" t="str">
        <f>M_Calculo!B39</f>
        <v>REATERRO MANUAL COM APILOAMENTO MECANICO</v>
      </c>
      <c r="C39" s="144" t="str">
        <f>M_Calculo!C39</f>
        <v>m³</v>
      </c>
      <c r="D39" s="145">
        <f>M_Calculo!D39</f>
        <v>30.3156</v>
      </c>
      <c r="E39" s="150">
        <v>79488</v>
      </c>
      <c r="F39" s="146">
        <v>5.33</v>
      </c>
      <c r="G39" s="147">
        <f t="shared" ref="G39:G40" si="21">F39*(1+$D$10)</f>
        <v>6.6624999999999996</v>
      </c>
      <c r="H39" s="147">
        <f t="shared" si="19"/>
        <v>201.98</v>
      </c>
    </row>
    <row r="40" spans="1:8" s="51" customFormat="1" ht="22.5">
      <c r="A40" s="144" t="s">
        <v>24</v>
      </c>
      <c r="B40" s="149" t="str">
        <f>M_Calculo!B40</f>
        <v>CONTRAPISO/LASTRO DE CONCRETO NAO-ESTRUTURAL, E=5CM, PREPARO COM BETONEIRA</v>
      </c>
      <c r="C40" s="144" t="str">
        <f>M_Calculo!C40</f>
        <v>m³</v>
      </c>
      <c r="D40" s="145">
        <f>M_Calculo!D40</f>
        <v>160.81799999999998</v>
      </c>
      <c r="E40" s="150" t="s">
        <v>73</v>
      </c>
      <c r="F40" s="146">
        <v>21.09</v>
      </c>
      <c r="G40" s="147">
        <f t="shared" si="21"/>
        <v>26.362500000000001</v>
      </c>
      <c r="H40" s="147">
        <f t="shared" si="19"/>
        <v>4239.5600000000004</v>
      </c>
    </row>
    <row r="41" spans="1:8" s="51" customFormat="1" ht="12" customHeight="1">
      <c r="A41" s="144" t="s">
        <v>25</v>
      </c>
      <c r="B41" s="149" t="str">
        <f>M_Calculo!B41</f>
        <v xml:space="preserve">REBOCO ARGAMASSA TRACO 1:2 </v>
      </c>
      <c r="C41" s="144" t="str">
        <f>M_Calculo!C41</f>
        <v>m²</v>
      </c>
      <c r="D41" s="145">
        <f>M_Calculo!D41</f>
        <v>51.342000000000006</v>
      </c>
      <c r="E41" s="150">
        <v>75481</v>
      </c>
      <c r="F41" s="146">
        <v>10.76</v>
      </c>
      <c r="G41" s="147">
        <f t="shared" ref="G41:G42" si="22">F41*(1+$D$10)</f>
        <v>13.45</v>
      </c>
      <c r="H41" s="147">
        <f t="shared" ref="H41:H42" si="23">ROUND(D41*G41,2)</f>
        <v>690.55</v>
      </c>
    </row>
    <row r="42" spans="1:8" s="51" customFormat="1" ht="21.75" customHeight="1">
      <c r="A42" s="144" t="s">
        <v>557</v>
      </c>
      <c r="B42" s="149" t="str">
        <f>M_Calculo!B42</f>
        <v>PINTURA COM TINTA EM PO INDUSTRIALIZADA A BASE DE CAL, DUAS DEMAOS</v>
      </c>
      <c r="C42" s="144" t="str">
        <f>M_Calculo!C42</f>
        <v>m²</v>
      </c>
      <c r="D42" s="145">
        <f>M_Calculo!D42</f>
        <v>212.16</v>
      </c>
      <c r="E42" s="153" t="s">
        <v>520</v>
      </c>
      <c r="F42" s="146">
        <v>4.74</v>
      </c>
      <c r="G42" s="147">
        <f t="shared" si="22"/>
        <v>5.9250000000000007</v>
      </c>
      <c r="H42" s="147">
        <f t="shared" si="23"/>
        <v>1257.05</v>
      </c>
    </row>
    <row r="43" spans="1:8" s="51" customFormat="1" ht="9" customHeight="1">
      <c r="A43" s="165"/>
      <c r="B43" s="166"/>
      <c r="C43" s="165"/>
      <c r="D43" s="167"/>
      <c r="E43" s="168"/>
      <c r="F43" s="169"/>
      <c r="G43" s="170"/>
      <c r="H43" s="170"/>
    </row>
    <row r="44" spans="1:8" s="51" customFormat="1" ht="11.25" customHeight="1">
      <c r="A44" s="143" t="s">
        <v>26</v>
      </c>
      <c r="B44" s="528" t="s">
        <v>132</v>
      </c>
      <c r="C44" s="529"/>
      <c r="D44" s="529"/>
      <c r="E44" s="529"/>
      <c r="F44" s="529"/>
      <c r="G44" s="530"/>
      <c r="H44" s="148">
        <f>SUM(H45:H49)</f>
        <v>2103.83</v>
      </c>
    </row>
    <row r="45" spans="1:8" s="51" customFormat="1" ht="11.25" customHeight="1">
      <c r="A45" s="144" t="s">
        <v>27</v>
      </c>
      <c r="B45" s="149" t="str">
        <f>M_Calculo!B45</f>
        <v>ESCAVACAO MANUAL DE VALAS EM TERRA COMPACTA, PROF. DE 0 M &lt; H &lt;= 1 M</v>
      </c>
      <c r="C45" s="144" t="str">
        <f>M_Calculo!C45</f>
        <v>m³</v>
      </c>
      <c r="D45" s="145">
        <f>M_Calculo!D45</f>
        <v>2.1599999999999997</v>
      </c>
      <c r="E45" s="150">
        <v>73481</v>
      </c>
      <c r="F45" s="146">
        <v>23.61</v>
      </c>
      <c r="G45" s="147">
        <f>F45*(1+$D$10)</f>
        <v>29.512499999999999</v>
      </c>
      <c r="H45" s="147">
        <f>ROUND(D45*G45,2)</f>
        <v>63.75</v>
      </c>
    </row>
    <row r="46" spans="1:8" s="51" customFormat="1" ht="11.25" customHeight="1">
      <c r="A46" s="144" t="s">
        <v>61</v>
      </c>
      <c r="B46" s="149" t="str">
        <f>M_Calculo!B46</f>
        <v xml:space="preserve">ALVENARIA DE VEDAÇÃO DE BLOCOS CERÂMICOS FURADOS NA VERTICAL DE 9X19X3 9CM (ESPESSURA 9CM) DE PAREDES COM ÁREA LÍQUIDA MAIOR OU IGUAL A 6M² SEM VÃOS E ARGAMASSA DE ASSENTAMENTO COM PREPARO EM BETONEIRA. </v>
      </c>
      <c r="C46" s="144" t="str">
        <f>M_Calculo!C46</f>
        <v>m²</v>
      </c>
      <c r="D46" s="145">
        <v>51.088999999999999</v>
      </c>
      <c r="E46" s="150">
        <v>87477</v>
      </c>
      <c r="F46" s="146">
        <v>24.41</v>
      </c>
      <c r="G46" s="147">
        <f>F46*(1+$D$10)</f>
        <v>30.512499999999999</v>
      </c>
      <c r="H46" s="147">
        <f>ROUND(D46*G46,2)</f>
        <v>1558.85</v>
      </c>
    </row>
    <row r="47" spans="1:8" s="51" customFormat="1" ht="11.25" customHeight="1">
      <c r="A47" s="144" t="s">
        <v>62</v>
      </c>
      <c r="B47" s="149" t="str">
        <f>M_Calculo!B47</f>
        <v>REATERRO MANUAL COM APILOAMENTO MECANICO</v>
      </c>
      <c r="C47" s="144" t="str">
        <f>M_Calculo!C47</f>
        <v>m³</v>
      </c>
      <c r="D47" s="145">
        <f>M_Calculo!D47</f>
        <v>3.2</v>
      </c>
      <c r="E47" s="150">
        <v>79488</v>
      </c>
      <c r="F47" s="146">
        <v>5.33</v>
      </c>
      <c r="G47" s="147">
        <f>F47*(1+$D$10)</f>
        <v>6.6624999999999996</v>
      </c>
      <c r="H47" s="147">
        <f>ROUND(D47*G47,2)</f>
        <v>21.32</v>
      </c>
    </row>
    <row r="48" spans="1:8" s="51" customFormat="1" ht="11.25" customHeight="1">
      <c r="A48" s="144" t="s">
        <v>63</v>
      </c>
      <c r="B48" s="149" t="str">
        <f>M_Calculo!B48</f>
        <v>CONTRAPISO/LASTRO DE CONCRETO NAO-ESTRUTURAL, E=5CM, PREPARO COM BETONEIRA</v>
      </c>
      <c r="C48" s="144" t="str">
        <f>M_Calculo!C48</f>
        <v>m²</v>
      </c>
      <c r="D48" s="145">
        <f>M_Calculo!D48</f>
        <v>12.8</v>
      </c>
      <c r="E48" s="150" t="s">
        <v>73</v>
      </c>
      <c r="F48" s="146">
        <v>21.09</v>
      </c>
      <c r="G48" s="147">
        <f>F48*(1+$D$10)</f>
        <v>26.362500000000001</v>
      </c>
      <c r="H48" s="147">
        <f>ROUND(D48*G48,2)</f>
        <v>337.44</v>
      </c>
    </row>
    <row r="49" spans="1:8" s="51" customFormat="1" ht="11.25" customHeight="1">
      <c r="A49" s="144" t="s">
        <v>64</v>
      </c>
      <c r="B49" s="149" t="str">
        <f>M_Calculo!B50</f>
        <v>PINTURA COM TINTA EM PO INDUSTRIALIZADA A BASE DE CAL, DUAS DEMAOS</v>
      </c>
      <c r="C49" s="144" t="str">
        <f>M_Calculo!C50</f>
        <v>m²</v>
      </c>
      <c r="D49" s="145">
        <f>M_Calculo!D50</f>
        <v>20.67</v>
      </c>
      <c r="E49" s="153" t="s">
        <v>520</v>
      </c>
      <c r="F49" s="146">
        <v>4.74</v>
      </c>
      <c r="G49" s="147">
        <f>F49*(1+$D$10)</f>
        <v>5.9250000000000007</v>
      </c>
      <c r="H49" s="147">
        <f>ROUND(D49*G49,2)</f>
        <v>122.47</v>
      </c>
    </row>
    <row r="50" spans="1:8" s="17" customFormat="1" ht="9" customHeight="1">
      <c r="A50" s="136"/>
      <c r="B50" s="137"/>
      <c r="C50" s="137"/>
      <c r="D50" s="138"/>
      <c r="E50" s="139"/>
      <c r="F50" s="140"/>
      <c r="G50" s="141"/>
      <c r="H50" s="142"/>
    </row>
    <row r="51" spans="1:8" s="19" customFormat="1" ht="11.25" customHeight="1">
      <c r="A51" s="143" t="s">
        <v>28</v>
      </c>
      <c r="B51" s="528" t="s">
        <v>114</v>
      </c>
      <c r="C51" s="529"/>
      <c r="D51" s="529"/>
      <c r="E51" s="529"/>
      <c r="F51" s="529"/>
      <c r="G51" s="530"/>
      <c r="H51" s="148">
        <f>SUM(H52:H66)</f>
        <v>66445.45</v>
      </c>
    </row>
    <row r="52" spans="1:8" s="51" customFormat="1" ht="22.5">
      <c r="A52" s="144" t="s">
        <v>29</v>
      </c>
      <c r="B52" s="149" t="str">
        <f>M_Calculo!B53</f>
        <v>ESCAVACAO MANUAL A CEU ABERTO EM MATERIAL DE 1A CATEGORIA, EM PROFUNDIDA DE ATE 0,50M</v>
      </c>
      <c r="C52" s="151" t="str">
        <f>M_Calculo!C53</f>
        <v>M³</v>
      </c>
      <c r="D52" s="163">
        <f>M_Calculo!D53</f>
        <v>15.103199999999999</v>
      </c>
      <c r="E52" s="150">
        <v>78018</v>
      </c>
      <c r="F52" s="146">
        <v>22.23</v>
      </c>
      <c r="G52" s="147">
        <f t="shared" ref="G52:G66" si="24">F52*(1+$D$10)</f>
        <v>27.787500000000001</v>
      </c>
      <c r="H52" s="147">
        <f t="shared" ref="H52:H66" si="25">ROUND(D52*G52,2)</f>
        <v>419.68</v>
      </c>
    </row>
    <row r="53" spans="1:8" s="51" customFormat="1" ht="22.5">
      <c r="A53" s="144" t="s">
        <v>30</v>
      </c>
      <c r="B53" s="149" t="str">
        <f>M_Calculo!B54</f>
        <v>EXECUCAO DE DRENO COM TUBOS DE PVC CORRUGADO FLEXIVEL PERFURADO - DN 100</v>
      </c>
      <c r="C53" s="151"/>
      <c r="D53" s="163">
        <f>M_Calculo!D54</f>
        <v>377.57999999999993</v>
      </c>
      <c r="E53" s="318">
        <v>83651</v>
      </c>
      <c r="F53" s="146">
        <v>22.24</v>
      </c>
      <c r="G53" s="147">
        <f t="shared" ref="G53" si="26">F53*(1+$D$10)</f>
        <v>27.799999999999997</v>
      </c>
      <c r="H53" s="147">
        <f t="shared" ref="H53" si="27">ROUND(D53*G53,2)</f>
        <v>10496.72</v>
      </c>
    </row>
    <row r="54" spans="1:8" s="51" customFormat="1">
      <c r="A54" s="144" t="s">
        <v>31</v>
      </c>
      <c r="B54" s="149" t="s">
        <v>245</v>
      </c>
      <c r="C54" s="151" t="s">
        <v>59</v>
      </c>
      <c r="D54" s="163">
        <f>M_Calculo!D55</f>
        <v>12.082560000000001</v>
      </c>
      <c r="E54" s="318">
        <v>83668</v>
      </c>
      <c r="F54" s="146">
        <v>82.51</v>
      </c>
      <c r="G54" s="147">
        <f t="shared" ref="G54" si="28">F54*(1+$D$10)</f>
        <v>103.1375</v>
      </c>
      <c r="H54" s="147">
        <f t="shared" ref="H54" si="29">ROUND(D54*G54,2)</f>
        <v>1246.17</v>
      </c>
    </row>
    <row r="55" spans="1:8" s="51" customFormat="1">
      <c r="A55" s="144" t="s">
        <v>32</v>
      </c>
      <c r="B55" s="149" t="str">
        <f>M_Calculo!B56</f>
        <v>FORNECIMENTO E INSTALACAO DE MANTA BIDIM RT - 14</v>
      </c>
      <c r="C55" s="151" t="str">
        <f>M_Calculo!C56</f>
        <v>m²</v>
      </c>
      <c r="D55" s="163">
        <f>M_Calculo!D56</f>
        <v>226.54799999999997</v>
      </c>
      <c r="E55" s="150">
        <v>83665</v>
      </c>
      <c r="F55" s="146">
        <v>9.73</v>
      </c>
      <c r="G55" s="147">
        <f t="shared" si="24"/>
        <v>12.162500000000001</v>
      </c>
      <c r="H55" s="147">
        <f t="shared" si="25"/>
        <v>2755.39</v>
      </c>
    </row>
    <row r="56" spans="1:8" s="51" customFormat="1">
      <c r="A56" s="144" t="s">
        <v>33</v>
      </c>
      <c r="B56" s="149" t="str">
        <f>M_Calculo!B57</f>
        <v xml:space="preserve">CAP PVC ESGOTO 100MM (TAMPÃO) - FORNECIMENTO E INSTALAÇÃO  </v>
      </c>
      <c r="C56" s="151" t="str">
        <f>M_Calculo!C57</f>
        <v>und</v>
      </c>
      <c r="D56" s="163">
        <f>M_Calculo!D57</f>
        <v>27</v>
      </c>
      <c r="E56" s="150">
        <v>72295</v>
      </c>
      <c r="F56" s="146">
        <v>9.66</v>
      </c>
      <c r="G56" s="147">
        <f t="shared" si="24"/>
        <v>12.074999999999999</v>
      </c>
      <c r="H56" s="147">
        <f t="shared" si="25"/>
        <v>326.02999999999997</v>
      </c>
    </row>
    <row r="57" spans="1:8" s="51" customFormat="1">
      <c r="A57" s="144" t="s">
        <v>34</v>
      </c>
      <c r="B57" s="149" t="str">
        <f>M_Calculo!B58</f>
        <v xml:space="preserve"> JUNÇÃO DUPLA, PVC, SERIE R, ÁGUA PLUVIAL, DN 100 X 100 X 100 MM</v>
      </c>
      <c r="C57" s="151" t="str">
        <f>M_Calculo!C58</f>
        <v>und</v>
      </c>
      <c r="D57" s="163">
        <f>M_Calculo!D58</f>
        <v>12</v>
      </c>
      <c r="E57" s="150">
        <v>89574</v>
      </c>
      <c r="F57" s="146">
        <v>51.23</v>
      </c>
      <c r="G57" s="147">
        <f t="shared" si="24"/>
        <v>64.037499999999994</v>
      </c>
      <c r="H57" s="147">
        <f t="shared" si="25"/>
        <v>768.45</v>
      </c>
    </row>
    <row r="58" spans="1:8" s="40" customFormat="1">
      <c r="A58" s="144" t="s">
        <v>123</v>
      </c>
      <c r="B58" s="149" t="str">
        <f>M_Calculo!B59</f>
        <v>TUBO PVC COM JUNTA ELASTICA, DN 200 MM</v>
      </c>
      <c r="C58" s="151" t="str">
        <f>M_Calculo!C59</f>
        <v>m</v>
      </c>
      <c r="D58" s="163">
        <f>M_Calculo!D59</f>
        <v>6</v>
      </c>
      <c r="E58" s="150">
        <v>90711</v>
      </c>
      <c r="F58" s="146">
        <v>40.880000000000003</v>
      </c>
      <c r="G58" s="147">
        <f t="shared" si="24"/>
        <v>51.1</v>
      </c>
      <c r="H58" s="147">
        <f t="shared" si="25"/>
        <v>306.60000000000002</v>
      </c>
    </row>
    <row r="59" spans="1:8" s="51" customFormat="1">
      <c r="A59" s="144" t="s">
        <v>124</v>
      </c>
      <c r="B59" s="171" t="str">
        <f>M_Calculo!B60</f>
        <v xml:space="preserve">SUMIDOURO EM ALVENARIA DE TIJOLO CERAMICO MACICO </v>
      </c>
      <c r="C59" s="151" t="str">
        <f>M_Calculo!C60</f>
        <v>und</v>
      </c>
      <c r="D59" s="163">
        <f>M_Calculo!D60</f>
        <v>1</v>
      </c>
      <c r="E59" s="150" t="s">
        <v>136</v>
      </c>
      <c r="F59" s="146">
        <v>913.93</v>
      </c>
      <c r="G59" s="147">
        <f t="shared" si="24"/>
        <v>1142.4124999999999</v>
      </c>
      <c r="H59" s="147">
        <f t="shared" si="25"/>
        <v>1142.4100000000001</v>
      </c>
    </row>
    <row r="60" spans="1:8" s="51" customFormat="1" ht="22.5" customHeight="1">
      <c r="A60" s="144" t="s">
        <v>246</v>
      </c>
      <c r="B60" s="149" t="str">
        <f>M_Calculo!B61</f>
        <v>CANALETA TRIANGULAR 70X20 CM, COM ESPESSURA DE 7 CM (VOLUME DE CONCRETO = 
0,053 M3/M)</v>
      </c>
      <c r="C60" s="151" t="str">
        <f>M_Calculo!C61</f>
        <v>m</v>
      </c>
      <c r="D60" s="163">
        <f>M_Calculo!D61</f>
        <v>52</v>
      </c>
      <c r="E60" s="150">
        <v>83687</v>
      </c>
      <c r="F60" s="146">
        <v>20.399999999999999</v>
      </c>
      <c r="G60" s="147">
        <f t="shared" ref="G60:G61" si="30">F60*(1+$D$10)</f>
        <v>25.5</v>
      </c>
      <c r="H60" s="147">
        <f t="shared" ref="H60:H61" si="31">ROUND(D60*G60,2)</f>
        <v>1326</v>
      </c>
    </row>
    <row r="61" spans="1:8" s="51" customFormat="1" ht="22.5" customHeight="1">
      <c r="A61" s="144" t="s">
        <v>125</v>
      </c>
      <c r="B61" s="149" t="str">
        <f>M_Calculo!B62</f>
        <v>TAMPA DA CANALETA EM LAJE PRE MOLDADA</v>
      </c>
      <c r="C61" s="151" t="str">
        <f>M_Calculo!C62</f>
        <v>M²</v>
      </c>
      <c r="D61" s="163">
        <f>M_Calculo!D62</f>
        <v>36.4</v>
      </c>
      <c r="E61" s="150" t="s">
        <v>515</v>
      </c>
      <c r="F61" s="146">
        <v>63.65</v>
      </c>
      <c r="G61" s="147">
        <f t="shared" si="30"/>
        <v>79.5625</v>
      </c>
      <c r="H61" s="147">
        <f t="shared" si="31"/>
        <v>2896.08</v>
      </c>
    </row>
    <row r="62" spans="1:8" s="40" customFormat="1">
      <c r="A62" s="144" t="s">
        <v>478</v>
      </c>
      <c r="B62" s="149" t="str">
        <f>M_Calculo!B63</f>
        <v>REATERRO COMPACTADO EM TERRA VEGETAL</v>
      </c>
      <c r="C62" s="151" t="str">
        <f>M_Calculo!C63</f>
        <v>m³</v>
      </c>
      <c r="D62" s="163">
        <f>M_Calculo!D63</f>
        <v>390.59999999999997</v>
      </c>
      <c r="E62" s="150" t="s">
        <v>96</v>
      </c>
      <c r="F62" s="146">
        <v>7.34</v>
      </c>
      <c r="G62" s="147">
        <f t="shared" si="24"/>
        <v>9.1750000000000007</v>
      </c>
      <c r="H62" s="147">
        <f t="shared" si="25"/>
        <v>3583.76</v>
      </c>
    </row>
    <row r="63" spans="1:8" s="40" customFormat="1" ht="21.75" customHeight="1">
      <c r="A63" s="144" t="s">
        <v>480</v>
      </c>
      <c r="B63" s="149" t="str">
        <f>M_Calculo!B64</f>
        <v>TRANSPORTE DE MATERIAL DE QUALQUER NATUREZA DMT 5 KM</v>
      </c>
      <c r="C63" s="151" t="str">
        <f>M_Calculo!C64</f>
        <v>TXKM</v>
      </c>
      <c r="D63" s="163">
        <f>M_Calculo!D64</f>
        <v>350.40000000000003</v>
      </c>
      <c r="E63" s="150">
        <v>72899</v>
      </c>
      <c r="F63" s="146">
        <v>4.59</v>
      </c>
      <c r="G63" s="147">
        <f t="shared" ref="G63" si="32">F63*(1+$D$10)</f>
        <v>5.7374999999999998</v>
      </c>
      <c r="H63" s="147">
        <f t="shared" ref="H63" si="33">ROUND(D63*G63,2)</f>
        <v>2010.42</v>
      </c>
    </row>
    <row r="64" spans="1:8" s="40" customFormat="1">
      <c r="A64" s="144" t="s">
        <v>481</v>
      </c>
      <c r="B64" s="149" t="str">
        <f>M_Calculo!B65</f>
        <v>ESPALHAMENTO COM MOTONIVELADORA</v>
      </c>
      <c r="C64" s="151" t="str">
        <f>M_Calculo!C65</f>
        <v>m²</v>
      </c>
      <c r="D64" s="163">
        <f>M_Calculo!D65</f>
        <v>3504</v>
      </c>
      <c r="E64" s="317" t="s">
        <v>244</v>
      </c>
      <c r="F64" s="146">
        <v>0.19</v>
      </c>
      <c r="G64" s="147">
        <f t="shared" ref="G64" si="34">F64*(1+$D$10)</f>
        <v>0.23749999999999999</v>
      </c>
      <c r="H64" s="147">
        <f t="shared" ref="H64" si="35">ROUND(D64*G64,2)</f>
        <v>832.2</v>
      </c>
    </row>
    <row r="65" spans="1:11" s="51" customFormat="1">
      <c r="A65" s="144" t="s">
        <v>495</v>
      </c>
      <c r="B65" s="149" t="str">
        <f>M_Calculo!B66</f>
        <v xml:space="preserve">APLICAÇÃO DE ADUBO </v>
      </c>
      <c r="C65" s="151" t="str">
        <f>M_Calculo!C66</f>
        <v>m²</v>
      </c>
      <c r="D65" s="163">
        <f>M_Calculo!D66</f>
        <v>0.26040000000000002</v>
      </c>
      <c r="E65" s="150">
        <v>85187</v>
      </c>
      <c r="F65" s="146">
        <v>274.31</v>
      </c>
      <c r="G65" s="147">
        <f t="shared" si="24"/>
        <v>342.88749999999999</v>
      </c>
      <c r="H65" s="147">
        <f t="shared" si="25"/>
        <v>89.29</v>
      </c>
    </row>
    <row r="66" spans="1:11" s="40" customFormat="1">
      <c r="A66" s="144" t="s">
        <v>558</v>
      </c>
      <c r="B66" s="149" t="str">
        <f>M_Calculo!B67</f>
        <v>PLANTIO DE GRAMA ESMERALDA  EM ROLO</v>
      </c>
      <c r="C66" s="151" t="str">
        <f>M_Calculo!C67</f>
        <v>m²</v>
      </c>
      <c r="D66" s="163">
        <f>M_Calculo!D67</f>
        <v>2604</v>
      </c>
      <c r="E66" s="150">
        <v>85180</v>
      </c>
      <c r="F66" s="146">
        <v>11.75</v>
      </c>
      <c r="G66" s="147">
        <f t="shared" si="24"/>
        <v>14.6875</v>
      </c>
      <c r="H66" s="147">
        <f t="shared" si="25"/>
        <v>38246.25</v>
      </c>
    </row>
    <row r="67" spans="1:11" s="17" customFormat="1" ht="10.5" customHeight="1">
      <c r="A67" s="136"/>
      <c r="B67" s="137"/>
      <c r="C67" s="137"/>
      <c r="D67" s="138"/>
      <c r="E67" s="139"/>
      <c r="F67" s="140"/>
      <c r="G67" s="141"/>
      <c r="H67" s="142"/>
    </row>
    <row r="68" spans="1:11" s="19" customFormat="1" ht="11.25" customHeight="1">
      <c r="A68" s="143" t="s">
        <v>35</v>
      </c>
      <c r="B68" s="528" t="s">
        <v>104</v>
      </c>
      <c r="C68" s="529"/>
      <c r="D68" s="529"/>
      <c r="E68" s="529"/>
      <c r="F68" s="529"/>
      <c r="G68" s="530"/>
      <c r="H68" s="148">
        <f>SUM(H69:H78)</f>
        <v>2526.9500000000003</v>
      </c>
    </row>
    <row r="69" spans="1:11" s="51" customFormat="1" ht="22.5">
      <c r="A69" s="144" t="s">
        <v>36</v>
      </c>
      <c r="B69" s="149" t="str">
        <f>M_Calculo!B70</f>
        <v>ESCAVACAO MANUAL A CEU ABERTO EM MATERIAL DE 1A CATEGORIA, EM PROFUNDIDA DE ATE 0,50M</v>
      </c>
      <c r="C69" s="151" t="s">
        <v>59</v>
      </c>
      <c r="D69" s="163">
        <f>M_Calculo!D70</f>
        <v>2.5950000000000002</v>
      </c>
      <c r="E69" s="150">
        <v>78018</v>
      </c>
      <c r="F69" s="146">
        <v>22.23</v>
      </c>
      <c r="G69" s="147">
        <f>F69*(1+$D$10)</f>
        <v>27.787500000000001</v>
      </c>
      <c r="H69" s="147">
        <f>ROUND(D69*G69,2)</f>
        <v>72.11</v>
      </c>
    </row>
    <row r="70" spans="1:11" s="60" customFormat="1" ht="22.5">
      <c r="A70" s="144" t="s">
        <v>58</v>
      </c>
      <c r="B70" s="149" t="str">
        <f>M_Calculo!B71</f>
        <v>CAIXA DE INSPEÇÃO EM CONCRETO PRÉ-MOLDADO DN 60MM COM TAMPA H= 60CM - FORNECIMENTO E INSTALACAO</v>
      </c>
      <c r="C70" s="151" t="s">
        <v>54</v>
      </c>
      <c r="D70" s="163">
        <f>M_Calculo!D71</f>
        <v>5</v>
      </c>
      <c r="E70" s="150" t="s">
        <v>80</v>
      </c>
      <c r="F70" s="146">
        <v>161</v>
      </c>
      <c r="G70" s="147">
        <f t="shared" ref="G70:G78" si="36">F70*(1+$D$10)</f>
        <v>201.25</v>
      </c>
      <c r="H70" s="147">
        <f t="shared" ref="H70:H78" si="37">ROUND(D70*G70,2)</f>
        <v>1006.25</v>
      </c>
    </row>
    <row r="71" spans="1:11" s="51" customFormat="1">
      <c r="A71" s="144" t="s">
        <v>126</v>
      </c>
      <c r="B71" s="149" t="str">
        <f>M_Calculo!B72</f>
        <v>REGISTRO DE GAVETA COM CANOPLA Ø 25MM (1) - FORNECIMENTO E INSTALAÇÃO</v>
      </c>
      <c r="C71" s="151" t="s">
        <v>54</v>
      </c>
      <c r="D71" s="163">
        <f>M_Calculo!D72</f>
        <v>1</v>
      </c>
      <c r="E71" s="150">
        <v>73663</v>
      </c>
      <c r="F71" s="146">
        <v>88.66</v>
      </c>
      <c r="G71" s="147">
        <f t="shared" si="36"/>
        <v>110.82499999999999</v>
      </c>
      <c r="H71" s="147">
        <f t="shared" si="37"/>
        <v>110.83</v>
      </c>
    </row>
    <row r="72" spans="1:11" s="40" customFormat="1" ht="31.5" customHeight="1">
      <c r="A72" s="144" t="s">
        <v>127</v>
      </c>
      <c r="B72" s="149" t="str">
        <f>M_Calculo!B73</f>
        <v>JOELHO 90 GRAUS, PVC, SOLDÁVEL, DN 25MM, INSTALADO EM RAMAL OU SUB-RAMAL DE ÁGUA FORNECIMENTO E INSTALAÇÃO . AF_12/2014_P</v>
      </c>
      <c r="C72" s="151" t="s">
        <v>54</v>
      </c>
      <c r="D72" s="163">
        <f>M_Calculo!D73</f>
        <v>2</v>
      </c>
      <c r="E72" s="150">
        <v>89362</v>
      </c>
      <c r="F72" s="146">
        <v>4.16</v>
      </c>
      <c r="G72" s="147">
        <f t="shared" si="36"/>
        <v>5.2</v>
      </c>
      <c r="H72" s="147">
        <f t="shared" si="37"/>
        <v>10.4</v>
      </c>
    </row>
    <row r="73" spans="1:11" s="51" customFormat="1" ht="22.5">
      <c r="A73" s="144" t="s">
        <v>128</v>
      </c>
      <c r="B73" s="149" t="str">
        <f>M_Calculo!B74</f>
        <v>TE, PVC, SOLDÁVEL, DN 25MM, INSTALADO EM RAMAL OU SUB-RAMAL DE ÁGUA FORNECIMENTO E INSTALAÇÃO. AF_12/2014_P</v>
      </c>
      <c r="C73" s="151" t="s">
        <v>54</v>
      </c>
      <c r="D73" s="163">
        <f>M_Calculo!D74</f>
        <v>2</v>
      </c>
      <c r="E73" s="150">
        <v>89395</v>
      </c>
      <c r="F73" s="146">
        <v>6.25</v>
      </c>
      <c r="G73" s="147">
        <f t="shared" si="36"/>
        <v>7.8125</v>
      </c>
      <c r="H73" s="147">
        <f t="shared" si="37"/>
        <v>15.63</v>
      </c>
      <c r="K73" s="106"/>
    </row>
    <row r="74" spans="1:11" s="51" customFormat="1">
      <c r="A74" s="144" t="s">
        <v>129</v>
      </c>
      <c r="B74" s="149" t="s">
        <v>251</v>
      </c>
      <c r="C74" s="151" t="s">
        <v>54</v>
      </c>
      <c r="D74" s="163">
        <f>M_Calculo!D75</f>
        <v>2</v>
      </c>
      <c r="E74" s="150">
        <v>89412</v>
      </c>
      <c r="F74" s="146">
        <v>3.91</v>
      </c>
      <c r="G74" s="147">
        <f t="shared" ref="G74:G76" si="38">F74*(1+$D$10)</f>
        <v>4.8875000000000002</v>
      </c>
      <c r="H74" s="147">
        <f t="shared" ref="H74:H76" si="39">ROUND(D74*G74,2)</f>
        <v>9.7799999999999994</v>
      </c>
      <c r="K74" s="106"/>
    </row>
    <row r="75" spans="1:11" s="51" customFormat="1" ht="22.5">
      <c r="A75" s="144" t="s">
        <v>146</v>
      </c>
      <c r="B75" s="222" t="s">
        <v>252</v>
      </c>
      <c r="C75" s="151" t="s">
        <v>54</v>
      </c>
      <c r="D75" s="163">
        <f>M_Calculo!D76</f>
        <v>2</v>
      </c>
      <c r="E75" s="150">
        <v>89395</v>
      </c>
      <c r="F75" s="146">
        <v>6.25</v>
      </c>
      <c r="G75" s="147">
        <f t="shared" si="38"/>
        <v>7.8125</v>
      </c>
      <c r="H75" s="147">
        <f t="shared" si="39"/>
        <v>15.63</v>
      </c>
      <c r="K75" s="106"/>
    </row>
    <row r="76" spans="1:11" s="51" customFormat="1" ht="22.5">
      <c r="A76" s="144" t="s">
        <v>269</v>
      </c>
      <c r="B76" s="222" t="s">
        <v>474</v>
      </c>
      <c r="C76" s="228" t="s">
        <v>54</v>
      </c>
      <c r="D76" s="229">
        <v>2</v>
      </c>
      <c r="E76" s="150">
        <v>89422</v>
      </c>
      <c r="F76" s="146">
        <v>2.25</v>
      </c>
      <c r="G76" s="147">
        <f t="shared" si="38"/>
        <v>2.8125</v>
      </c>
      <c r="H76" s="147">
        <f t="shared" si="39"/>
        <v>5.63</v>
      </c>
      <c r="K76" s="106"/>
    </row>
    <row r="77" spans="1:11" s="51" customFormat="1" ht="16.5" customHeight="1">
      <c r="A77" s="144" t="s">
        <v>270</v>
      </c>
      <c r="B77" s="149" t="str">
        <f>M_Calculo!B78</f>
        <v>TORNEIRA PLÁSTICA 3/4" PARA TANQUE - FORNECIMENTO E INSTALAÇÃO</v>
      </c>
      <c r="C77" s="151" t="s">
        <v>54</v>
      </c>
      <c r="D77" s="163">
        <f>M_Calculo!D78</f>
        <v>4</v>
      </c>
      <c r="E77" s="150">
        <v>86916</v>
      </c>
      <c r="F77" s="146">
        <v>17.829999999999998</v>
      </c>
      <c r="G77" s="147">
        <f t="shared" si="36"/>
        <v>22.287499999999998</v>
      </c>
      <c r="H77" s="147">
        <f t="shared" si="37"/>
        <v>89.15</v>
      </c>
      <c r="K77" s="106"/>
    </row>
    <row r="78" spans="1:11" s="51" customFormat="1" ht="20.25" customHeight="1">
      <c r="A78" s="144" t="s">
        <v>475</v>
      </c>
      <c r="B78" s="149" t="str">
        <f>M_Calculo!B79</f>
        <v>TUBO, PVC, SOLDÁVEL, DN 25MM, INSTALADO EM RAMAL DE DISTRIBUIÇÃO DE ÁGUA FORNECIMENTO E INSTALAÇÃO. AF_12/2014_P</v>
      </c>
      <c r="C78" s="151" t="s">
        <v>60</v>
      </c>
      <c r="D78" s="163">
        <f>M_Calculo!D79</f>
        <v>173</v>
      </c>
      <c r="E78" s="150">
        <v>89402</v>
      </c>
      <c r="F78" s="146">
        <v>5.51</v>
      </c>
      <c r="G78" s="147">
        <f t="shared" si="36"/>
        <v>6.8874999999999993</v>
      </c>
      <c r="H78" s="147">
        <f t="shared" si="37"/>
        <v>1191.54</v>
      </c>
      <c r="K78" s="106"/>
    </row>
    <row r="79" spans="1:11" s="327" customFormat="1" ht="6" customHeight="1">
      <c r="B79" s="333"/>
    </row>
    <row r="80" spans="1:11" s="327" customFormat="1" ht="12.75" customHeight="1">
      <c r="A80" s="143" t="s">
        <v>37</v>
      </c>
      <c r="B80" s="531" t="str">
        <f>M_Calculo!B81</f>
        <v>ÁREA DE VOLEY DE AREIA</v>
      </c>
      <c r="C80" s="531"/>
      <c r="D80" s="531"/>
      <c r="E80" s="531"/>
      <c r="F80" s="531"/>
      <c r="G80" s="531"/>
      <c r="H80" s="148">
        <f>SUM(H81:H83)</f>
        <v>2463.2800000000002</v>
      </c>
    </row>
    <row r="81" spans="1:8" s="327" customFormat="1" ht="22.5">
      <c r="A81" s="144" t="s">
        <v>38</v>
      </c>
      <c r="B81" s="149" t="str">
        <f>M_Calculo!B82</f>
        <v>ESCAVACAO MANUAL A CEU ABERTO EM MATERIAL DE 1A CATEGORIA, EM PROFUNDIDA DE ATE 0,50M</v>
      </c>
      <c r="C81" s="151" t="str">
        <f>M_Calculo!C82</f>
        <v>m³</v>
      </c>
      <c r="D81" s="163">
        <f>M_Calculo!D82</f>
        <v>1.2000000000000002</v>
      </c>
      <c r="E81" s="150">
        <v>78018</v>
      </c>
      <c r="F81" s="146">
        <v>22.23</v>
      </c>
      <c r="G81" s="147">
        <f t="shared" ref="G81:G82" si="40">F81*(1+$D$10)</f>
        <v>27.787500000000001</v>
      </c>
      <c r="H81" s="147">
        <f t="shared" ref="H81:H82" si="41">ROUND(D81*G81,2)</f>
        <v>33.35</v>
      </c>
    </row>
    <row r="82" spans="1:8" s="327" customFormat="1" ht="12.75" customHeight="1">
      <c r="A82" s="144" t="s">
        <v>510</v>
      </c>
      <c r="B82" s="149" t="str">
        <f>M_Calculo!B83</f>
        <v>CONTEÇÃO DA AREIA COM ALVENARIA DE 1VEZ</v>
      </c>
      <c r="C82" s="151" t="str">
        <f>M_Calculo!C83</f>
        <v>M²</v>
      </c>
      <c r="D82" s="163">
        <f>M_Calculo!D83</f>
        <v>3</v>
      </c>
      <c r="E82" s="150" t="s">
        <v>72</v>
      </c>
      <c r="F82" s="146">
        <v>47.98</v>
      </c>
      <c r="G82" s="147">
        <f t="shared" si="40"/>
        <v>59.974999999999994</v>
      </c>
      <c r="H82" s="147">
        <f t="shared" si="41"/>
        <v>179.93</v>
      </c>
    </row>
    <row r="83" spans="1:8" s="327" customFormat="1" ht="12.75" customHeight="1">
      <c r="A83" s="144" t="s">
        <v>569</v>
      </c>
      <c r="B83" s="149" t="str">
        <f>M_Calculo!B84</f>
        <v>AREIA MEDIA - POSTO JAZIDA/FORNECEDOR</v>
      </c>
      <c r="C83" s="151" t="str">
        <f>M_Calculo!C84</f>
        <v>m³</v>
      </c>
      <c r="D83" s="163">
        <f>M_Calculo!D84</f>
        <v>36</v>
      </c>
      <c r="E83" s="150">
        <v>370</v>
      </c>
      <c r="F83" s="146">
        <v>50</v>
      </c>
      <c r="G83" s="147">
        <f t="shared" ref="G83" si="42">F83*(1+$D$10)</f>
        <v>62.5</v>
      </c>
      <c r="H83" s="147">
        <f t="shared" ref="H83" si="43">ROUND(D83*G83,2)</f>
        <v>2250</v>
      </c>
    </row>
    <row r="84" spans="1:8" s="327" customFormat="1" ht="8.25" customHeight="1"/>
    <row r="85" spans="1:8" s="51" customFormat="1">
      <c r="A85" s="143" t="s">
        <v>130</v>
      </c>
      <c r="B85" s="531" t="s">
        <v>98</v>
      </c>
      <c r="C85" s="531"/>
      <c r="D85" s="531"/>
      <c r="E85" s="531"/>
      <c r="F85" s="531"/>
      <c r="G85" s="531"/>
      <c r="H85" s="148">
        <f>SUM(H86:H86)</f>
        <v>2502.13</v>
      </c>
    </row>
    <row r="86" spans="1:8" s="40" customFormat="1">
      <c r="A86" s="144" t="s">
        <v>131</v>
      </c>
      <c r="B86" s="149" t="str">
        <f>M_Calculo!B87</f>
        <v>PISO TÁTIL ANTI DERRAPANTE</v>
      </c>
      <c r="C86" s="144" t="s">
        <v>12</v>
      </c>
      <c r="D86" s="162">
        <f>M_Calculo!$D$87</f>
        <v>23.852499999999999</v>
      </c>
      <c r="E86" s="150">
        <v>84186</v>
      </c>
      <c r="F86" s="146">
        <v>83.92</v>
      </c>
      <c r="G86" s="147">
        <f t="shared" ref="G86:G93" si="44">F86*(1+$D$10)</f>
        <v>104.9</v>
      </c>
      <c r="H86" s="147">
        <f t="shared" ref="H86" si="45">ROUND(D86*G86,2)</f>
        <v>2502.13</v>
      </c>
    </row>
    <row r="87" spans="1:8" s="40" customFormat="1" ht="9" customHeight="1">
      <c r="A87" s="205"/>
      <c r="B87" s="155"/>
      <c r="C87" s="205"/>
      <c r="D87" s="335"/>
      <c r="E87" s="158"/>
      <c r="F87" s="159"/>
      <c r="G87" s="107"/>
      <c r="H87" s="107"/>
    </row>
    <row r="88" spans="1:8" s="40" customFormat="1">
      <c r="A88" s="143" t="s">
        <v>260</v>
      </c>
      <c r="B88" s="528" t="s">
        <v>262</v>
      </c>
      <c r="C88" s="529"/>
      <c r="D88" s="529"/>
      <c r="E88" s="529"/>
      <c r="F88" s="529"/>
      <c r="G88" s="530"/>
      <c r="H88" s="148">
        <f>SUM(H89:H90)</f>
        <v>6312.55</v>
      </c>
    </row>
    <row r="89" spans="1:8" s="40" customFormat="1">
      <c r="A89" s="144" t="s">
        <v>261</v>
      </c>
      <c r="B89" s="149" t="str">
        <f>M_Calculo!B90</f>
        <v xml:space="preserve">CONJUNTO P/VOLEI(POSTES GALVANIZADO H=255 REDE NYLON 2 MM </v>
      </c>
      <c r="C89" s="144" t="s">
        <v>268</v>
      </c>
      <c r="D89" s="162">
        <v>1</v>
      </c>
      <c r="E89" s="334">
        <v>25399</v>
      </c>
      <c r="F89" s="146">
        <v>1920</v>
      </c>
      <c r="G89" s="147">
        <f t="shared" ref="G89" si="46">F89*(1+$D$10)</f>
        <v>2400</v>
      </c>
      <c r="H89" s="147">
        <f>ROUND(D89*G89,2)</f>
        <v>2400</v>
      </c>
    </row>
    <row r="90" spans="1:8" s="40" customFormat="1" ht="22.5">
      <c r="A90" s="144" t="s">
        <v>263</v>
      </c>
      <c r="B90" s="149" t="str">
        <f>M_Calculo!B91</f>
        <v>PAR DE TRAVES OFICIAL - 3,00X2,00M - EM TUBO DE AÇO GALV 3" COM UM REQUADRO E REDES POLIETILENO FIO 4MM).</v>
      </c>
      <c r="C90" s="144" t="s">
        <v>268</v>
      </c>
      <c r="D90" s="162">
        <v>1</v>
      </c>
      <c r="E90" s="334">
        <v>25398</v>
      </c>
      <c r="F90" s="146">
        <v>3130.04</v>
      </c>
      <c r="G90" s="147">
        <f t="shared" ref="G90" si="47">F90*(1+$D$10)</f>
        <v>3912.55</v>
      </c>
      <c r="H90" s="147">
        <f>ROUND(D90*G90,2)</f>
        <v>3912.55</v>
      </c>
    </row>
    <row r="91" spans="1:8" s="51" customFormat="1" ht="9" customHeight="1">
      <c r="A91" s="136"/>
      <c r="B91" s="137"/>
      <c r="C91" s="137"/>
      <c r="D91" s="138"/>
      <c r="E91" s="139"/>
      <c r="F91" s="140"/>
      <c r="G91" s="141"/>
      <c r="H91" s="142"/>
    </row>
    <row r="92" spans="1:8" s="51" customFormat="1">
      <c r="A92" s="143" t="s">
        <v>264</v>
      </c>
      <c r="B92" s="528" t="s">
        <v>100</v>
      </c>
      <c r="C92" s="529"/>
      <c r="D92" s="529"/>
      <c r="E92" s="529"/>
      <c r="F92" s="529"/>
      <c r="G92" s="530"/>
      <c r="H92" s="148">
        <f>SUM(H93)</f>
        <v>3306.9</v>
      </c>
    </row>
    <row r="93" spans="1:8" s="51" customFormat="1">
      <c r="A93" s="144" t="s">
        <v>265</v>
      </c>
      <c r="B93" s="149" t="str">
        <f>M_Calculo!$B$94</f>
        <v>LIMPEZA FINAL DA OBRA</v>
      </c>
      <c r="C93" s="144" t="s">
        <v>12</v>
      </c>
      <c r="D93" s="162">
        <f>M_Calculo!$D$94</f>
        <v>1752</v>
      </c>
      <c r="E93" s="150">
        <v>9537</v>
      </c>
      <c r="F93" s="146">
        <v>1.51</v>
      </c>
      <c r="G93" s="147">
        <f t="shared" si="44"/>
        <v>1.8875</v>
      </c>
      <c r="H93" s="147">
        <f>ROUND(D93*G93,2)</f>
        <v>3306.9</v>
      </c>
    </row>
    <row r="94" spans="1:8" s="51" customFormat="1" ht="9" customHeight="1">
      <c r="A94" s="154"/>
      <c r="B94" s="155"/>
      <c r="C94" s="156"/>
      <c r="D94" s="172"/>
      <c r="E94" s="158"/>
      <c r="F94" s="159"/>
      <c r="G94" s="107"/>
      <c r="H94" s="160"/>
    </row>
    <row r="95" spans="1:8" s="22" customFormat="1" ht="15.75">
      <c r="A95" s="173"/>
      <c r="B95" s="174" t="s">
        <v>40</v>
      </c>
      <c r="C95" s="175"/>
      <c r="D95" s="176"/>
      <c r="E95" s="177"/>
      <c r="F95" s="178"/>
      <c r="G95" s="179"/>
      <c r="H95" s="148">
        <f>H14+H20+H35+H44+H51+H68+H80+H85+H88+H92</f>
        <v>249232.64999999997</v>
      </c>
    </row>
    <row r="96" spans="1:8" s="22" customFormat="1" ht="15.75">
      <c r="A96" s="210"/>
      <c r="B96" s="211"/>
      <c r="C96" s="212"/>
      <c r="D96" s="213"/>
      <c r="E96" s="338"/>
      <c r="F96" s="339"/>
      <c r="G96" s="340"/>
      <c r="H96" s="341"/>
    </row>
    <row r="97" spans="1:8" s="66" customFormat="1" ht="12">
      <c r="B97" s="311" t="s">
        <v>272</v>
      </c>
      <c r="C97" s="71"/>
      <c r="D97" s="72"/>
      <c r="E97" s="73"/>
      <c r="F97" s="74"/>
      <c r="G97" s="75"/>
      <c r="H97" s="75"/>
    </row>
    <row r="98" spans="1:8" s="66" customFormat="1" ht="12">
      <c r="A98" s="76"/>
      <c r="B98" s="77" t="s">
        <v>501</v>
      </c>
      <c r="C98" s="78"/>
      <c r="D98" s="79"/>
      <c r="E98" s="80"/>
      <c r="F98" s="81"/>
      <c r="G98" s="82"/>
      <c r="H98" s="82"/>
    </row>
    <row r="99" spans="1:8" s="66" customFormat="1" ht="12">
      <c r="A99" s="76"/>
      <c r="B99" s="83"/>
      <c r="C99" s="78"/>
      <c r="D99" s="79"/>
      <c r="E99" s="80"/>
      <c r="F99" s="81"/>
      <c r="G99" s="82"/>
      <c r="H99" s="82"/>
    </row>
    <row r="100" spans="1:8" s="66" customFormat="1" ht="12">
      <c r="A100" s="76"/>
      <c r="B100" s="76"/>
      <c r="C100" s="526"/>
      <c r="D100" s="526"/>
      <c r="E100" s="526"/>
      <c r="F100" s="526"/>
      <c r="G100" s="526"/>
      <c r="H100" s="526"/>
    </row>
    <row r="101" spans="1:8" s="66" customFormat="1" ht="12" customHeight="1">
      <c r="A101" s="76"/>
      <c r="B101" s="532" t="s">
        <v>575</v>
      </c>
      <c r="C101" s="532"/>
      <c r="D101" s="532"/>
      <c r="E101" s="532"/>
      <c r="F101" s="81"/>
      <c r="G101" s="82"/>
      <c r="H101" s="82"/>
    </row>
    <row r="102" spans="1:8" s="66" customFormat="1" ht="12" customHeight="1">
      <c r="A102" s="76"/>
      <c r="B102" s="532"/>
      <c r="C102" s="532"/>
      <c r="D102" s="532"/>
      <c r="E102" s="532"/>
      <c r="F102" s="81"/>
      <c r="G102" s="82"/>
      <c r="H102" s="82"/>
    </row>
    <row r="103" spans="1:8" s="67" customFormat="1" ht="11.25" customHeight="1">
      <c r="A103" s="84"/>
      <c r="B103" s="532"/>
      <c r="C103" s="532"/>
      <c r="D103" s="532"/>
      <c r="E103" s="532"/>
      <c r="F103" s="86"/>
      <c r="G103" s="86"/>
      <c r="H103" s="86"/>
    </row>
    <row r="104" spans="1:8" s="67" customFormat="1" ht="38.25" customHeight="1">
      <c r="A104" s="84"/>
      <c r="B104" s="532"/>
      <c r="C104" s="532"/>
      <c r="D104" s="532"/>
      <c r="E104" s="532"/>
      <c r="F104" s="86"/>
      <c r="G104" s="88"/>
      <c r="H104" s="88"/>
    </row>
    <row r="105" spans="1:8" s="67" customFormat="1" ht="11.25" customHeight="1">
      <c r="A105" s="524"/>
      <c r="B105" s="524"/>
      <c r="C105" s="524"/>
      <c r="D105" s="524"/>
      <c r="E105" s="524"/>
      <c r="F105" s="524"/>
      <c r="G105" s="524"/>
      <c r="H105" s="524"/>
    </row>
    <row r="106" spans="1:8" s="25" customFormat="1" ht="11.25" customHeight="1">
      <c r="A106" s="524"/>
      <c r="B106" s="524"/>
      <c r="C106" s="524"/>
      <c r="D106" s="524"/>
      <c r="E106" s="524"/>
      <c r="F106" s="524"/>
      <c r="G106" s="524"/>
      <c r="H106" s="524"/>
    </row>
    <row r="107" spans="1:8" s="25" customFormat="1">
      <c r="A107" s="132"/>
      <c r="B107" s="132"/>
      <c r="C107" s="132"/>
      <c r="D107" s="132"/>
      <c r="E107" s="132"/>
      <c r="F107" s="132"/>
      <c r="G107" s="132"/>
      <c r="H107" s="132"/>
    </row>
    <row r="108" spans="1:8">
      <c r="A108" s="76"/>
      <c r="B108" s="76"/>
      <c r="C108" s="78"/>
      <c r="D108" s="79"/>
      <c r="E108" s="80"/>
      <c r="F108" s="81"/>
      <c r="G108" s="82"/>
      <c r="H108" s="82"/>
    </row>
  </sheetData>
  <mergeCells count="16">
    <mergeCell ref="A106:H106"/>
    <mergeCell ref="B20:G20"/>
    <mergeCell ref="B35:G35"/>
    <mergeCell ref="B44:G44"/>
    <mergeCell ref="B51:G51"/>
    <mergeCell ref="B68:G68"/>
    <mergeCell ref="B85:G85"/>
    <mergeCell ref="B92:G92"/>
    <mergeCell ref="B80:G80"/>
    <mergeCell ref="B88:G88"/>
    <mergeCell ref="B101:E104"/>
    <mergeCell ref="A1:H1"/>
    <mergeCell ref="A2:H2"/>
    <mergeCell ref="C100:H100"/>
    <mergeCell ref="A105:H105"/>
    <mergeCell ref="B14:G14"/>
  </mergeCells>
  <printOptions horizontalCentered="1"/>
  <pageMargins left="0.39370078740157483" right="0.35433070866141736" top="0" bottom="0.11811023622047245" header="0.51181102362204722" footer="0.51181102362204722"/>
  <pageSetup paperSize="9" scale="70" fitToHeight="0" orientation="portrait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56"/>
  <sheetViews>
    <sheetView showGridLines="0" view="pageBreakPreview" topLeftCell="A30" zoomScale="110" zoomScaleNormal="100" zoomScaleSheetLayoutView="110" workbookViewId="0">
      <selection activeCell="B55" sqref="B55"/>
    </sheetView>
  </sheetViews>
  <sheetFormatPr defaultRowHeight="11.25"/>
  <cols>
    <col min="1" max="1" width="5.42578125" style="11" customWidth="1"/>
    <col min="2" max="2" width="53.5703125" style="1" customWidth="1"/>
    <col min="3" max="3" width="6.28515625" style="31" customWidth="1"/>
    <col min="4" max="4" width="0.140625" style="32" customWidth="1"/>
    <col min="5" max="5" width="0.140625" style="59" hidden="1" customWidth="1"/>
    <col min="6" max="6" width="0.5703125" style="47" hidden="1" customWidth="1"/>
    <col min="7" max="7" width="0.42578125" style="50" hidden="1" customWidth="1"/>
    <col min="8" max="8" width="13.140625" style="50" customWidth="1"/>
    <col min="9" max="9" width="9.7109375" style="66" customWidth="1"/>
    <col min="10" max="10" width="9.85546875" style="66" customWidth="1"/>
    <col min="11" max="254" width="9.140625" style="1"/>
    <col min="255" max="255" width="4.7109375" style="1" customWidth="1"/>
    <col min="256" max="256" width="53.5703125" style="1" customWidth="1"/>
    <col min="257" max="257" width="6.28515625" style="1" customWidth="1"/>
    <col min="258" max="258" width="8.28515625" style="1" customWidth="1"/>
    <col min="259" max="259" width="12.7109375" style="1" customWidth="1"/>
    <col min="260" max="260" width="10.85546875" style="1" customWidth="1"/>
    <col min="261" max="261" width="9.5703125" style="1" customWidth="1"/>
    <col min="262" max="262" width="11.140625" style="1" customWidth="1"/>
    <col min="263" max="263" width="13.140625" style="1" customWidth="1"/>
    <col min="264" max="510" width="9.140625" style="1"/>
    <col min="511" max="511" width="4.7109375" style="1" customWidth="1"/>
    <col min="512" max="512" width="53.5703125" style="1" customWidth="1"/>
    <col min="513" max="513" width="6.28515625" style="1" customWidth="1"/>
    <col min="514" max="514" width="8.28515625" style="1" customWidth="1"/>
    <col min="515" max="515" width="12.7109375" style="1" customWidth="1"/>
    <col min="516" max="516" width="10.85546875" style="1" customWidth="1"/>
    <col min="517" max="517" width="9.5703125" style="1" customWidth="1"/>
    <col min="518" max="518" width="11.140625" style="1" customWidth="1"/>
    <col min="519" max="519" width="13.140625" style="1" customWidth="1"/>
    <col min="520" max="766" width="9.140625" style="1"/>
    <col min="767" max="767" width="4.7109375" style="1" customWidth="1"/>
    <col min="768" max="768" width="53.5703125" style="1" customWidth="1"/>
    <col min="769" max="769" width="6.28515625" style="1" customWidth="1"/>
    <col min="770" max="770" width="8.28515625" style="1" customWidth="1"/>
    <col min="771" max="771" width="12.7109375" style="1" customWidth="1"/>
    <col min="772" max="772" width="10.85546875" style="1" customWidth="1"/>
    <col min="773" max="773" width="9.5703125" style="1" customWidth="1"/>
    <col min="774" max="774" width="11.140625" style="1" customWidth="1"/>
    <col min="775" max="775" width="13.140625" style="1" customWidth="1"/>
    <col min="776" max="1022" width="9.140625" style="1"/>
    <col min="1023" max="1023" width="4.7109375" style="1" customWidth="1"/>
    <col min="1024" max="1024" width="53.5703125" style="1" customWidth="1"/>
    <col min="1025" max="1025" width="6.28515625" style="1" customWidth="1"/>
    <col min="1026" max="1026" width="8.28515625" style="1" customWidth="1"/>
    <col min="1027" max="1027" width="12.7109375" style="1" customWidth="1"/>
    <col min="1028" max="1028" width="10.85546875" style="1" customWidth="1"/>
    <col min="1029" max="1029" width="9.5703125" style="1" customWidth="1"/>
    <col min="1030" max="1030" width="11.140625" style="1" customWidth="1"/>
    <col min="1031" max="1031" width="13.140625" style="1" customWidth="1"/>
    <col min="1032" max="1278" width="9.140625" style="1"/>
    <col min="1279" max="1279" width="4.7109375" style="1" customWidth="1"/>
    <col min="1280" max="1280" width="53.5703125" style="1" customWidth="1"/>
    <col min="1281" max="1281" width="6.28515625" style="1" customWidth="1"/>
    <col min="1282" max="1282" width="8.28515625" style="1" customWidth="1"/>
    <col min="1283" max="1283" width="12.7109375" style="1" customWidth="1"/>
    <col min="1284" max="1284" width="10.85546875" style="1" customWidth="1"/>
    <col min="1285" max="1285" width="9.5703125" style="1" customWidth="1"/>
    <col min="1286" max="1286" width="11.140625" style="1" customWidth="1"/>
    <col min="1287" max="1287" width="13.140625" style="1" customWidth="1"/>
    <col min="1288" max="1534" width="9.140625" style="1"/>
    <col min="1535" max="1535" width="4.7109375" style="1" customWidth="1"/>
    <col min="1536" max="1536" width="53.5703125" style="1" customWidth="1"/>
    <col min="1537" max="1537" width="6.28515625" style="1" customWidth="1"/>
    <col min="1538" max="1538" width="8.28515625" style="1" customWidth="1"/>
    <col min="1539" max="1539" width="12.7109375" style="1" customWidth="1"/>
    <col min="1540" max="1540" width="10.85546875" style="1" customWidth="1"/>
    <col min="1541" max="1541" width="9.5703125" style="1" customWidth="1"/>
    <col min="1542" max="1542" width="11.140625" style="1" customWidth="1"/>
    <col min="1543" max="1543" width="13.140625" style="1" customWidth="1"/>
    <col min="1544" max="1790" width="9.140625" style="1"/>
    <col min="1791" max="1791" width="4.7109375" style="1" customWidth="1"/>
    <col min="1792" max="1792" width="53.5703125" style="1" customWidth="1"/>
    <col min="1793" max="1793" width="6.28515625" style="1" customWidth="1"/>
    <col min="1794" max="1794" width="8.28515625" style="1" customWidth="1"/>
    <col min="1795" max="1795" width="12.7109375" style="1" customWidth="1"/>
    <col min="1796" max="1796" width="10.85546875" style="1" customWidth="1"/>
    <col min="1797" max="1797" width="9.5703125" style="1" customWidth="1"/>
    <col min="1798" max="1798" width="11.140625" style="1" customWidth="1"/>
    <col min="1799" max="1799" width="13.140625" style="1" customWidth="1"/>
    <col min="1800" max="2046" width="9.140625" style="1"/>
    <col min="2047" max="2047" width="4.7109375" style="1" customWidth="1"/>
    <col min="2048" max="2048" width="53.5703125" style="1" customWidth="1"/>
    <col min="2049" max="2049" width="6.28515625" style="1" customWidth="1"/>
    <col min="2050" max="2050" width="8.28515625" style="1" customWidth="1"/>
    <col min="2051" max="2051" width="12.7109375" style="1" customWidth="1"/>
    <col min="2052" max="2052" width="10.85546875" style="1" customWidth="1"/>
    <col min="2053" max="2053" width="9.5703125" style="1" customWidth="1"/>
    <col min="2054" max="2054" width="11.140625" style="1" customWidth="1"/>
    <col min="2055" max="2055" width="13.140625" style="1" customWidth="1"/>
    <col min="2056" max="2302" width="9.140625" style="1"/>
    <col min="2303" max="2303" width="4.7109375" style="1" customWidth="1"/>
    <col min="2304" max="2304" width="53.5703125" style="1" customWidth="1"/>
    <col min="2305" max="2305" width="6.28515625" style="1" customWidth="1"/>
    <col min="2306" max="2306" width="8.28515625" style="1" customWidth="1"/>
    <col min="2307" max="2307" width="12.7109375" style="1" customWidth="1"/>
    <col min="2308" max="2308" width="10.85546875" style="1" customWidth="1"/>
    <col min="2309" max="2309" width="9.5703125" style="1" customWidth="1"/>
    <col min="2310" max="2310" width="11.140625" style="1" customWidth="1"/>
    <col min="2311" max="2311" width="13.140625" style="1" customWidth="1"/>
    <col min="2312" max="2558" width="9.140625" style="1"/>
    <col min="2559" max="2559" width="4.7109375" style="1" customWidth="1"/>
    <col min="2560" max="2560" width="53.5703125" style="1" customWidth="1"/>
    <col min="2561" max="2561" width="6.28515625" style="1" customWidth="1"/>
    <col min="2562" max="2562" width="8.28515625" style="1" customWidth="1"/>
    <col min="2563" max="2563" width="12.7109375" style="1" customWidth="1"/>
    <col min="2564" max="2564" width="10.85546875" style="1" customWidth="1"/>
    <col min="2565" max="2565" width="9.5703125" style="1" customWidth="1"/>
    <col min="2566" max="2566" width="11.140625" style="1" customWidth="1"/>
    <col min="2567" max="2567" width="13.140625" style="1" customWidth="1"/>
    <col min="2568" max="2814" width="9.140625" style="1"/>
    <col min="2815" max="2815" width="4.7109375" style="1" customWidth="1"/>
    <col min="2816" max="2816" width="53.5703125" style="1" customWidth="1"/>
    <col min="2817" max="2817" width="6.28515625" style="1" customWidth="1"/>
    <col min="2818" max="2818" width="8.28515625" style="1" customWidth="1"/>
    <col min="2819" max="2819" width="12.7109375" style="1" customWidth="1"/>
    <col min="2820" max="2820" width="10.85546875" style="1" customWidth="1"/>
    <col min="2821" max="2821" width="9.5703125" style="1" customWidth="1"/>
    <col min="2822" max="2822" width="11.140625" style="1" customWidth="1"/>
    <col min="2823" max="2823" width="13.140625" style="1" customWidth="1"/>
    <col min="2824" max="3070" width="9.140625" style="1"/>
    <col min="3071" max="3071" width="4.7109375" style="1" customWidth="1"/>
    <col min="3072" max="3072" width="53.5703125" style="1" customWidth="1"/>
    <col min="3073" max="3073" width="6.28515625" style="1" customWidth="1"/>
    <col min="3074" max="3074" width="8.28515625" style="1" customWidth="1"/>
    <col min="3075" max="3075" width="12.7109375" style="1" customWidth="1"/>
    <col min="3076" max="3076" width="10.85546875" style="1" customWidth="1"/>
    <col min="3077" max="3077" width="9.5703125" style="1" customWidth="1"/>
    <col min="3078" max="3078" width="11.140625" style="1" customWidth="1"/>
    <col min="3079" max="3079" width="13.140625" style="1" customWidth="1"/>
    <col min="3080" max="3326" width="9.140625" style="1"/>
    <col min="3327" max="3327" width="4.7109375" style="1" customWidth="1"/>
    <col min="3328" max="3328" width="53.5703125" style="1" customWidth="1"/>
    <col min="3329" max="3329" width="6.28515625" style="1" customWidth="1"/>
    <col min="3330" max="3330" width="8.28515625" style="1" customWidth="1"/>
    <col min="3331" max="3331" width="12.7109375" style="1" customWidth="1"/>
    <col min="3332" max="3332" width="10.85546875" style="1" customWidth="1"/>
    <col min="3333" max="3333" width="9.5703125" style="1" customWidth="1"/>
    <col min="3334" max="3334" width="11.140625" style="1" customWidth="1"/>
    <col min="3335" max="3335" width="13.140625" style="1" customWidth="1"/>
    <col min="3336" max="3582" width="9.140625" style="1"/>
    <col min="3583" max="3583" width="4.7109375" style="1" customWidth="1"/>
    <col min="3584" max="3584" width="53.5703125" style="1" customWidth="1"/>
    <col min="3585" max="3585" width="6.28515625" style="1" customWidth="1"/>
    <col min="3586" max="3586" width="8.28515625" style="1" customWidth="1"/>
    <col min="3587" max="3587" width="12.7109375" style="1" customWidth="1"/>
    <col min="3588" max="3588" width="10.85546875" style="1" customWidth="1"/>
    <col min="3589" max="3589" width="9.5703125" style="1" customWidth="1"/>
    <col min="3590" max="3590" width="11.140625" style="1" customWidth="1"/>
    <col min="3591" max="3591" width="13.140625" style="1" customWidth="1"/>
    <col min="3592" max="3838" width="9.140625" style="1"/>
    <col min="3839" max="3839" width="4.7109375" style="1" customWidth="1"/>
    <col min="3840" max="3840" width="53.5703125" style="1" customWidth="1"/>
    <col min="3841" max="3841" width="6.28515625" style="1" customWidth="1"/>
    <col min="3842" max="3842" width="8.28515625" style="1" customWidth="1"/>
    <col min="3843" max="3843" width="12.7109375" style="1" customWidth="1"/>
    <col min="3844" max="3844" width="10.85546875" style="1" customWidth="1"/>
    <col min="3845" max="3845" width="9.5703125" style="1" customWidth="1"/>
    <col min="3846" max="3846" width="11.140625" style="1" customWidth="1"/>
    <col min="3847" max="3847" width="13.140625" style="1" customWidth="1"/>
    <col min="3848" max="4094" width="9.140625" style="1"/>
    <col min="4095" max="4095" width="4.7109375" style="1" customWidth="1"/>
    <col min="4096" max="4096" width="53.5703125" style="1" customWidth="1"/>
    <col min="4097" max="4097" width="6.28515625" style="1" customWidth="1"/>
    <col min="4098" max="4098" width="8.28515625" style="1" customWidth="1"/>
    <col min="4099" max="4099" width="12.7109375" style="1" customWidth="1"/>
    <col min="4100" max="4100" width="10.85546875" style="1" customWidth="1"/>
    <col min="4101" max="4101" width="9.5703125" style="1" customWidth="1"/>
    <col min="4102" max="4102" width="11.140625" style="1" customWidth="1"/>
    <col min="4103" max="4103" width="13.140625" style="1" customWidth="1"/>
    <col min="4104" max="4350" width="9.140625" style="1"/>
    <col min="4351" max="4351" width="4.7109375" style="1" customWidth="1"/>
    <col min="4352" max="4352" width="53.5703125" style="1" customWidth="1"/>
    <col min="4353" max="4353" width="6.28515625" style="1" customWidth="1"/>
    <col min="4354" max="4354" width="8.28515625" style="1" customWidth="1"/>
    <col min="4355" max="4355" width="12.7109375" style="1" customWidth="1"/>
    <col min="4356" max="4356" width="10.85546875" style="1" customWidth="1"/>
    <col min="4357" max="4357" width="9.5703125" style="1" customWidth="1"/>
    <col min="4358" max="4358" width="11.140625" style="1" customWidth="1"/>
    <col min="4359" max="4359" width="13.140625" style="1" customWidth="1"/>
    <col min="4360" max="4606" width="9.140625" style="1"/>
    <col min="4607" max="4607" width="4.7109375" style="1" customWidth="1"/>
    <col min="4608" max="4608" width="53.5703125" style="1" customWidth="1"/>
    <col min="4609" max="4609" width="6.28515625" style="1" customWidth="1"/>
    <col min="4610" max="4610" width="8.28515625" style="1" customWidth="1"/>
    <col min="4611" max="4611" width="12.7109375" style="1" customWidth="1"/>
    <col min="4612" max="4612" width="10.85546875" style="1" customWidth="1"/>
    <col min="4613" max="4613" width="9.5703125" style="1" customWidth="1"/>
    <col min="4614" max="4614" width="11.140625" style="1" customWidth="1"/>
    <col min="4615" max="4615" width="13.140625" style="1" customWidth="1"/>
    <col min="4616" max="4862" width="9.140625" style="1"/>
    <col min="4863" max="4863" width="4.7109375" style="1" customWidth="1"/>
    <col min="4864" max="4864" width="53.5703125" style="1" customWidth="1"/>
    <col min="4865" max="4865" width="6.28515625" style="1" customWidth="1"/>
    <col min="4866" max="4866" width="8.28515625" style="1" customWidth="1"/>
    <col min="4867" max="4867" width="12.7109375" style="1" customWidth="1"/>
    <col min="4868" max="4868" width="10.85546875" style="1" customWidth="1"/>
    <col min="4869" max="4869" width="9.5703125" style="1" customWidth="1"/>
    <col min="4870" max="4870" width="11.140625" style="1" customWidth="1"/>
    <col min="4871" max="4871" width="13.140625" style="1" customWidth="1"/>
    <col min="4872" max="5118" width="9.140625" style="1"/>
    <col min="5119" max="5119" width="4.7109375" style="1" customWidth="1"/>
    <col min="5120" max="5120" width="53.5703125" style="1" customWidth="1"/>
    <col min="5121" max="5121" width="6.28515625" style="1" customWidth="1"/>
    <col min="5122" max="5122" width="8.28515625" style="1" customWidth="1"/>
    <col min="5123" max="5123" width="12.7109375" style="1" customWidth="1"/>
    <col min="5124" max="5124" width="10.85546875" style="1" customWidth="1"/>
    <col min="5125" max="5125" width="9.5703125" style="1" customWidth="1"/>
    <col min="5126" max="5126" width="11.140625" style="1" customWidth="1"/>
    <col min="5127" max="5127" width="13.140625" style="1" customWidth="1"/>
    <col min="5128" max="5374" width="9.140625" style="1"/>
    <col min="5375" max="5375" width="4.7109375" style="1" customWidth="1"/>
    <col min="5376" max="5376" width="53.5703125" style="1" customWidth="1"/>
    <col min="5377" max="5377" width="6.28515625" style="1" customWidth="1"/>
    <col min="5378" max="5378" width="8.28515625" style="1" customWidth="1"/>
    <col min="5379" max="5379" width="12.7109375" style="1" customWidth="1"/>
    <col min="5380" max="5380" width="10.85546875" style="1" customWidth="1"/>
    <col min="5381" max="5381" width="9.5703125" style="1" customWidth="1"/>
    <col min="5382" max="5382" width="11.140625" style="1" customWidth="1"/>
    <col min="5383" max="5383" width="13.140625" style="1" customWidth="1"/>
    <col min="5384" max="5630" width="9.140625" style="1"/>
    <col min="5631" max="5631" width="4.7109375" style="1" customWidth="1"/>
    <col min="5632" max="5632" width="53.5703125" style="1" customWidth="1"/>
    <col min="5633" max="5633" width="6.28515625" style="1" customWidth="1"/>
    <col min="5634" max="5634" width="8.28515625" style="1" customWidth="1"/>
    <col min="5635" max="5635" width="12.7109375" style="1" customWidth="1"/>
    <col min="5636" max="5636" width="10.85546875" style="1" customWidth="1"/>
    <col min="5637" max="5637" width="9.5703125" style="1" customWidth="1"/>
    <col min="5638" max="5638" width="11.140625" style="1" customWidth="1"/>
    <col min="5639" max="5639" width="13.140625" style="1" customWidth="1"/>
    <col min="5640" max="5886" width="9.140625" style="1"/>
    <col min="5887" max="5887" width="4.7109375" style="1" customWidth="1"/>
    <col min="5888" max="5888" width="53.5703125" style="1" customWidth="1"/>
    <col min="5889" max="5889" width="6.28515625" style="1" customWidth="1"/>
    <col min="5890" max="5890" width="8.28515625" style="1" customWidth="1"/>
    <col min="5891" max="5891" width="12.7109375" style="1" customWidth="1"/>
    <col min="5892" max="5892" width="10.85546875" style="1" customWidth="1"/>
    <col min="5893" max="5893" width="9.5703125" style="1" customWidth="1"/>
    <col min="5894" max="5894" width="11.140625" style="1" customWidth="1"/>
    <col min="5895" max="5895" width="13.140625" style="1" customWidth="1"/>
    <col min="5896" max="6142" width="9.140625" style="1"/>
    <col min="6143" max="6143" width="4.7109375" style="1" customWidth="1"/>
    <col min="6144" max="6144" width="53.5703125" style="1" customWidth="1"/>
    <col min="6145" max="6145" width="6.28515625" style="1" customWidth="1"/>
    <col min="6146" max="6146" width="8.28515625" style="1" customWidth="1"/>
    <col min="6147" max="6147" width="12.7109375" style="1" customWidth="1"/>
    <col min="6148" max="6148" width="10.85546875" style="1" customWidth="1"/>
    <col min="6149" max="6149" width="9.5703125" style="1" customWidth="1"/>
    <col min="6150" max="6150" width="11.140625" style="1" customWidth="1"/>
    <col min="6151" max="6151" width="13.140625" style="1" customWidth="1"/>
    <col min="6152" max="6398" width="9.140625" style="1"/>
    <col min="6399" max="6399" width="4.7109375" style="1" customWidth="1"/>
    <col min="6400" max="6400" width="53.5703125" style="1" customWidth="1"/>
    <col min="6401" max="6401" width="6.28515625" style="1" customWidth="1"/>
    <col min="6402" max="6402" width="8.28515625" style="1" customWidth="1"/>
    <col min="6403" max="6403" width="12.7109375" style="1" customWidth="1"/>
    <col min="6404" max="6404" width="10.85546875" style="1" customWidth="1"/>
    <col min="6405" max="6405" width="9.5703125" style="1" customWidth="1"/>
    <col min="6406" max="6406" width="11.140625" style="1" customWidth="1"/>
    <col min="6407" max="6407" width="13.140625" style="1" customWidth="1"/>
    <col min="6408" max="6654" width="9.140625" style="1"/>
    <col min="6655" max="6655" width="4.7109375" style="1" customWidth="1"/>
    <col min="6656" max="6656" width="53.5703125" style="1" customWidth="1"/>
    <col min="6657" max="6657" width="6.28515625" style="1" customWidth="1"/>
    <col min="6658" max="6658" width="8.28515625" style="1" customWidth="1"/>
    <col min="6659" max="6659" width="12.7109375" style="1" customWidth="1"/>
    <col min="6660" max="6660" width="10.85546875" style="1" customWidth="1"/>
    <col min="6661" max="6661" width="9.5703125" style="1" customWidth="1"/>
    <col min="6662" max="6662" width="11.140625" style="1" customWidth="1"/>
    <col min="6663" max="6663" width="13.140625" style="1" customWidth="1"/>
    <col min="6664" max="6910" width="9.140625" style="1"/>
    <col min="6911" max="6911" width="4.7109375" style="1" customWidth="1"/>
    <col min="6912" max="6912" width="53.5703125" style="1" customWidth="1"/>
    <col min="6913" max="6913" width="6.28515625" style="1" customWidth="1"/>
    <col min="6914" max="6914" width="8.28515625" style="1" customWidth="1"/>
    <col min="6915" max="6915" width="12.7109375" style="1" customWidth="1"/>
    <col min="6916" max="6916" width="10.85546875" style="1" customWidth="1"/>
    <col min="6917" max="6917" width="9.5703125" style="1" customWidth="1"/>
    <col min="6918" max="6918" width="11.140625" style="1" customWidth="1"/>
    <col min="6919" max="6919" width="13.140625" style="1" customWidth="1"/>
    <col min="6920" max="7166" width="9.140625" style="1"/>
    <col min="7167" max="7167" width="4.7109375" style="1" customWidth="1"/>
    <col min="7168" max="7168" width="53.5703125" style="1" customWidth="1"/>
    <col min="7169" max="7169" width="6.28515625" style="1" customWidth="1"/>
    <col min="7170" max="7170" width="8.28515625" style="1" customWidth="1"/>
    <col min="7171" max="7171" width="12.7109375" style="1" customWidth="1"/>
    <col min="7172" max="7172" width="10.85546875" style="1" customWidth="1"/>
    <col min="7173" max="7173" width="9.5703125" style="1" customWidth="1"/>
    <col min="7174" max="7174" width="11.140625" style="1" customWidth="1"/>
    <col min="7175" max="7175" width="13.140625" style="1" customWidth="1"/>
    <col min="7176" max="7422" width="9.140625" style="1"/>
    <col min="7423" max="7423" width="4.7109375" style="1" customWidth="1"/>
    <col min="7424" max="7424" width="53.5703125" style="1" customWidth="1"/>
    <col min="7425" max="7425" width="6.28515625" style="1" customWidth="1"/>
    <col min="7426" max="7426" width="8.28515625" style="1" customWidth="1"/>
    <col min="7427" max="7427" width="12.7109375" style="1" customWidth="1"/>
    <col min="7428" max="7428" width="10.85546875" style="1" customWidth="1"/>
    <col min="7429" max="7429" width="9.5703125" style="1" customWidth="1"/>
    <col min="7430" max="7430" width="11.140625" style="1" customWidth="1"/>
    <col min="7431" max="7431" width="13.140625" style="1" customWidth="1"/>
    <col min="7432" max="7678" width="9.140625" style="1"/>
    <col min="7679" max="7679" width="4.7109375" style="1" customWidth="1"/>
    <col min="7680" max="7680" width="53.5703125" style="1" customWidth="1"/>
    <col min="7681" max="7681" width="6.28515625" style="1" customWidth="1"/>
    <col min="7682" max="7682" width="8.28515625" style="1" customWidth="1"/>
    <col min="7683" max="7683" width="12.7109375" style="1" customWidth="1"/>
    <col min="7684" max="7684" width="10.85546875" style="1" customWidth="1"/>
    <col min="7685" max="7685" width="9.5703125" style="1" customWidth="1"/>
    <col min="7686" max="7686" width="11.140625" style="1" customWidth="1"/>
    <col min="7687" max="7687" width="13.140625" style="1" customWidth="1"/>
    <col min="7688" max="7934" width="9.140625" style="1"/>
    <col min="7935" max="7935" width="4.7109375" style="1" customWidth="1"/>
    <col min="7936" max="7936" width="53.5703125" style="1" customWidth="1"/>
    <col min="7937" max="7937" width="6.28515625" style="1" customWidth="1"/>
    <col min="7938" max="7938" width="8.28515625" style="1" customWidth="1"/>
    <col min="7939" max="7939" width="12.7109375" style="1" customWidth="1"/>
    <col min="7940" max="7940" width="10.85546875" style="1" customWidth="1"/>
    <col min="7941" max="7941" width="9.5703125" style="1" customWidth="1"/>
    <col min="7942" max="7942" width="11.140625" style="1" customWidth="1"/>
    <col min="7943" max="7943" width="13.140625" style="1" customWidth="1"/>
    <col min="7944" max="8190" width="9.140625" style="1"/>
    <col min="8191" max="8191" width="4.7109375" style="1" customWidth="1"/>
    <col min="8192" max="8192" width="53.5703125" style="1" customWidth="1"/>
    <col min="8193" max="8193" width="6.28515625" style="1" customWidth="1"/>
    <col min="8194" max="8194" width="8.28515625" style="1" customWidth="1"/>
    <col min="8195" max="8195" width="12.7109375" style="1" customWidth="1"/>
    <col min="8196" max="8196" width="10.85546875" style="1" customWidth="1"/>
    <col min="8197" max="8197" width="9.5703125" style="1" customWidth="1"/>
    <col min="8198" max="8198" width="11.140625" style="1" customWidth="1"/>
    <col min="8199" max="8199" width="13.140625" style="1" customWidth="1"/>
    <col min="8200" max="8446" width="9.140625" style="1"/>
    <col min="8447" max="8447" width="4.7109375" style="1" customWidth="1"/>
    <col min="8448" max="8448" width="53.5703125" style="1" customWidth="1"/>
    <col min="8449" max="8449" width="6.28515625" style="1" customWidth="1"/>
    <col min="8450" max="8450" width="8.28515625" style="1" customWidth="1"/>
    <col min="8451" max="8451" width="12.7109375" style="1" customWidth="1"/>
    <col min="8452" max="8452" width="10.85546875" style="1" customWidth="1"/>
    <col min="8453" max="8453" width="9.5703125" style="1" customWidth="1"/>
    <col min="8454" max="8454" width="11.140625" style="1" customWidth="1"/>
    <col min="8455" max="8455" width="13.140625" style="1" customWidth="1"/>
    <col min="8456" max="8702" width="9.140625" style="1"/>
    <col min="8703" max="8703" width="4.7109375" style="1" customWidth="1"/>
    <col min="8704" max="8704" width="53.5703125" style="1" customWidth="1"/>
    <col min="8705" max="8705" width="6.28515625" style="1" customWidth="1"/>
    <col min="8706" max="8706" width="8.28515625" style="1" customWidth="1"/>
    <col min="8707" max="8707" width="12.7109375" style="1" customWidth="1"/>
    <col min="8708" max="8708" width="10.85546875" style="1" customWidth="1"/>
    <col min="8709" max="8709" width="9.5703125" style="1" customWidth="1"/>
    <col min="8710" max="8710" width="11.140625" style="1" customWidth="1"/>
    <col min="8711" max="8711" width="13.140625" style="1" customWidth="1"/>
    <col min="8712" max="8958" width="9.140625" style="1"/>
    <col min="8959" max="8959" width="4.7109375" style="1" customWidth="1"/>
    <col min="8960" max="8960" width="53.5703125" style="1" customWidth="1"/>
    <col min="8961" max="8961" width="6.28515625" style="1" customWidth="1"/>
    <col min="8962" max="8962" width="8.28515625" style="1" customWidth="1"/>
    <col min="8963" max="8963" width="12.7109375" style="1" customWidth="1"/>
    <col min="8964" max="8964" width="10.85546875" style="1" customWidth="1"/>
    <col min="8965" max="8965" width="9.5703125" style="1" customWidth="1"/>
    <col min="8966" max="8966" width="11.140625" style="1" customWidth="1"/>
    <col min="8967" max="8967" width="13.140625" style="1" customWidth="1"/>
    <col min="8968" max="9214" width="9.140625" style="1"/>
    <col min="9215" max="9215" width="4.7109375" style="1" customWidth="1"/>
    <col min="9216" max="9216" width="53.5703125" style="1" customWidth="1"/>
    <col min="9217" max="9217" width="6.28515625" style="1" customWidth="1"/>
    <col min="9218" max="9218" width="8.28515625" style="1" customWidth="1"/>
    <col min="9219" max="9219" width="12.7109375" style="1" customWidth="1"/>
    <col min="9220" max="9220" width="10.85546875" style="1" customWidth="1"/>
    <col min="9221" max="9221" width="9.5703125" style="1" customWidth="1"/>
    <col min="9222" max="9222" width="11.140625" style="1" customWidth="1"/>
    <col min="9223" max="9223" width="13.140625" style="1" customWidth="1"/>
    <col min="9224" max="9470" width="9.140625" style="1"/>
    <col min="9471" max="9471" width="4.7109375" style="1" customWidth="1"/>
    <col min="9472" max="9472" width="53.5703125" style="1" customWidth="1"/>
    <col min="9473" max="9473" width="6.28515625" style="1" customWidth="1"/>
    <col min="9474" max="9474" width="8.28515625" style="1" customWidth="1"/>
    <col min="9475" max="9475" width="12.7109375" style="1" customWidth="1"/>
    <col min="9476" max="9476" width="10.85546875" style="1" customWidth="1"/>
    <col min="9477" max="9477" width="9.5703125" style="1" customWidth="1"/>
    <col min="9478" max="9478" width="11.140625" style="1" customWidth="1"/>
    <col min="9479" max="9479" width="13.140625" style="1" customWidth="1"/>
    <col min="9480" max="9726" width="9.140625" style="1"/>
    <col min="9727" max="9727" width="4.7109375" style="1" customWidth="1"/>
    <col min="9728" max="9728" width="53.5703125" style="1" customWidth="1"/>
    <col min="9729" max="9729" width="6.28515625" style="1" customWidth="1"/>
    <col min="9730" max="9730" width="8.28515625" style="1" customWidth="1"/>
    <col min="9731" max="9731" width="12.7109375" style="1" customWidth="1"/>
    <col min="9732" max="9732" width="10.85546875" style="1" customWidth="1"/>
    <col min="9733" max="9733" width="9.5703125" style="1" customWidth="1"/>
    <col min="9734" max="9734" width="11.140625" style="1" customWidth="1"/>
    <col min="9735" max="9735" width="13.140625" style="1" customWidth="1"/>
    <col min="9736" max="9982" width="9.140625" style="1"/>
    <col min="9983" max="9983" width="4.7109375" style="1" customWidth="1"/>
    <col min="9984" max="9984" width="53.5703125" style="1" customWidth="1"/>
    <col min="9985" max="9985" width="6.28515625" style="1" customWidth="1"/>
    <col min="9986" max="9986" width="8.28515625" style="1" customWidth="1"/>
    <col min="9987" max="9987" width="12.7109375" style="1" customWidth="1"/>
    <col min="9988" max="9988" width="10.85546875" style="1" customWidth="1"/>
    <col min="9989" max="9989" width="9.5703125" style="1" customWidth="1"/>
    <col min="9990" max="9990" width="11.140625" style="1" customWidth="1"/>
    <col min="9991" max="9991" width="13.140625" style="1" customWidth="1"/>
    <col min="9992" max="10238" width="9.140625" style="1"/>
    <col min="10239" max="10239" width="4.7109375" style="1" customWidth="1"/>
    <col min="10240" max="10240" width="53.5703125" style="1" customWidth="1"/>
    <col min="10241" max="10241" width="6.28515625" style="1" customWidth="1"/>
    <col min="10242" max="10242" width="8.28515625" style="1" customWidth="1"/>
    <col min="10243" max="10243" width="12.7109375" style="1" customWidth="1"/>
    <col min="10244" max="10244" width="10.85546875" style="1" customWidth="1"/>
    <col min="10245" max="10245" width="9.5703125" style="1" customWidth="1"/>
    <col min="10246" max="10246" width="11.140625" style="1" customWidth="1"/>
    <col min="10247" max="10247" width="13.140625" style="1" customWidth="1"/>
    <col min="10248" max="10494" width="9.140625" style="1"/>
    <col min="10495" max="10495" width="4.7109375" style="1" customWidth="1"/>
    <col min="10496" max="10496" width="53.5703125" style="1" customWidth="1"/>
    <col min="10497" max="10497" width="6.28515625" style="1" customWidth="1"/>
    <col min="10498" max="10498" width="8.28515625" style="1" customWidth="1"/>
    <col min="10499" max="10499" width="12.7109375" style="1" customWidth="1"/>
    <col min="10500" max="10500" width="10.85546875" style="1" customWidth="1"/>
    <col min="10501" max="10501" width="9.5703125" style="1" customWidth="1"/>
    <col min="10502" max="10502" width="11.140625" style="1" customWidth="1"/>
    <col min="10503" max="10503" width="13.140625" style="1" customWidth="1"/>
    <col min="10504" max="10750" width="9.140625" style="1"/>
    <col min="10751" max="10751" width="4.7109375" style="1" customWidth="1"/>
    <col min="10752" max="10752" width="53.5703125" style="1" customWidth="1"/>
    <col min="10753" max="10753" width="6.28515625" style="1" customWidth="1"/>
    <col min="10754" max="10754" width="8.28515625" style="1" customWidth="1"/>
    <col min="10755" max="10755" width="12.7109375" style="1" customWidth="1"/>
    <col min="10756" max="10756" width="10.85546875" style="1" customWidth="1"/>
    <col min="10757" max="10757" width="9.5703125" style="1" customWidth="1"/>
    <col min="10758" max="10758" width="11.140625" style="1" customWidth="1"/>
    <col min="10759" max="10759" width="13.140625" style="1" customWidth="1"/>
    <col min="10760" max="11006" width="9.140625" style="1"/>
    <col min="11007" max="11007" width="4.7109375" style="1" customWidth="1"/>
    <col min="11008" max="11008" width="53.5703125" style="1" customWidth="1"/>
    <col min="11009" max="11009" width="6.28515625" style="1" customWidth="1"/>
    <col min="11010" max="11010" width="8.28515625" style="1" customWidth="1"/>
    <col min="11011" max="11011" width="12.7109375" style="1" customWidth="1"/>
    <col min="11012" max="11012" width="10.85546875" style="1" customWidth="1"/>
    <col min="11013" max="11013" width="9.5703125" style="1" customWidth="1"/>
    <col min="11014" max="11014" width="11.140625" style="1" customWidth="1"/>
    <col min="11015" max="11015" width="13.140625" style="1" customWidth="1"/>
    <col min="11016" max="11262" width="9.140625" style="1"/>
    <col min="11263" max="11263" width="4.7109375" style="1" customWidth="1"/>
    <col min="11264" max="11264" width="53.5703125" style="1" customWidth="1"/>
    <col min="11265" max="11265" width="6.28515625" style="1" customWidth="1"/>
    <col min="11266" max="11266" width="8.28515625" style="1" customWidth="1"/>
    <col min="11267" max="11267" width="12.7109375" style="1" customWidth="1"/>
    <col min="11268" max="11268" width="10.85546875" style="1" customWidth="1"/>
    <col min="11269" max="11269" width="9.5703125" style="1" customWidth="1"/>
    <col min="11270" max="11270" width="11.140625" style="1" customWidth="1"/>
    <col min="11271" max="11271" width="13.140625" style="1" customWidth="1"/>
    <col min="11272" max="11518" width="9.140625" style="1"/>
    <col min="11519" max="11519" width="4.7109375" style="1" customWidth="1"/>
    <col min="11520" max="11520" width="53.5703125" style="1" customWidth="1"/>
    <col min="11521" max="11521" width="6.28515625" style="1" customWidth="1"/>
    <col min="11522" max="11522" width="8.28515625" style="1" customWidth="1"/>
    <col min="11523" max="11523" width="12.7109375" style="1" customWidth="1"/>
    <col min="11524" max="11524" width="10.85546875" style="1" customWidth="1"/>
    <col min="11525" max="11525" width="9.5703125" style="1" customWidth="1"/>
    <col min="11526" max="11526" width="11.140625" style="1" customWidth="1"/>
    <col min="11527" max="11527" width="13.140625" style="1" customWidth="1"/>
    <col min="11528" max="11774" width="9.140625" style="1"/>
    <col min="11775" max="11775" width="4.7109375" style="1" customWidth="1"/>
    <col min="11776" max="11776" width="53.5703125" style="1" customWidth="1"/>
    <col min="11777" max="11777" width="6.28515625" style="1" customWidth="1"/>
    <col min="11778" max="11778" width="8.28515625" style="1" customWidth="1"/>
    <col min="11779" max="11779" width="12.7109375" style="1" customWidth="1"/>
    <col min="11780" max="11780" width="10.85546875" style="1" customWidth="1"/>
    <col min="11781" max="11781" width="9.5703125" style="1" customWidth="1"/>
    <col min="11782" max="11782" width="11.140625" style="1" customWidth="1"/>
    <col min="11783" max="11783" width="13.140625" style="1" customWidth="1"/>
    <col min="11784" max="12030" width="9.140625" style="1"/>
    <col min="12031" max="12031" width="4.7109375" style="1" customWidth="1"/>
    <col min="12032" max="12032" width="53.5703125" style="1" customWidth="1"/>
    <col min="12033" max="12033" width="6.28515625" style="1" customWidth="1"/>
    <col min="12034" max="12034" width="8.28515625" style="1" customWidth="1"/>
    <col min="12035" max="12035" width="12.7109375" style="1" customWidth="1"/>
    <col min="12036" max="12036" width="10.85546875" style="1" customWidth="1"/>
    <col min="12037" max="12037" width="9.5703125" style="1" customWidth="1"/>
    <col min="12038" max="12038" width="11.140625" style="1" customWidth="1"/>
    <col min="12039" max="12039" width="13.140625" style="1" customWidth="1"/>
    <col min="12040" max="12286" width="9.140625" style="1"/>
    <col min="12287" max="12287" width="4.7109375" style="1" customWidth="1"/>
    <col min="12288" max="12288" width="53.5703125" style="1" customWidth="1"/>
    <col min="12289" max="12289" width="6.28515625" style="1" customWidth="1"/>
    <col min="12290" max="12290" width="8.28515625" style="1" customWidth="1"/>
    <col min="12291" max="12291" width="12.7109375" style="1" customWidth="1"/>
    <col min="12292" max="12292" width="10.85546875" style="1" customWidth="1"/>
    <col min="12293" max="12293" width="9.5703125" style="1" customWidth="1"/>
    <col min="12294" max="12294" width="11.140625" style="1" customWidth="1"/>
    <col min="12295" max="12295" width="13.140625" style="1" customWidth="1"/>
    <col min="12296" max="12542" width="9.140625" style="1"/>
    <col min="12543" max="12543" width="4.7109375" style="1" customWidth="1"/>
    <col min="12544" max="12544" width="53.5703125" style="1" customWidth="1"/>
    <col min="12545" max="12545" width="6.28515625" style="1" customWidth="1"/>
    <col min="12546" max="12546" width="8.28515625" style="1" customWidth="1"/>
    <col min="12547" max="12547" width="12.7109375" style="1" customWidth="1"/>
    <col min="12548" max="12548" width="10.85546875" style="1" customWidth="1"/>
    <col min="12549" max="12549" width="9.5703125" style="1" customWidth="1"/>
    <col min="12550" max="12550" width="11.140625" style="1" customWidth="1"/>
    <col min="12551" max="12551" width="13.140625" style="1" customWidth="1"/>
    <col min="12552" max="12798" width="9.140625" style="1"/>
    <col min="12799" max="12799" width="4.7109375" style="1" customWidth="1"/>
    <col min="12800" max="12800" width="53.5703125" style="1" customWidth="1"/>
    <col min="12801" max="12801" width="6.28515625" style="1" customWidth="1"/>
    <col min="12802" max="12802" width="8.28515625" style="1" customWidth="1"/>
    <col min="12803" max="12803" width="12.7109375" style="1" customWidth="1"/>
    <col min="12804" max="12804" width="10.85546875" style="1" customWidth="1"/>
    <col min="12805" max="12805" width="9.5703125" style="1" customWidth="1"/>
    <col min="12806" max="12806" width="11.140625" style="1" customWidth="1"/>
    <col min="12807" max="12807" width="13.140625" style="1" customWidth="1"/>
    <col min="12808" max="13054" width="9.140625" style="1"/>
    <col min="13055" max="13055" width="4.7109375" style="1" customWidth="1"/>
    <col min="13056" max="13056" width="53.5703125" style="1" customWidth="1"/>
    <col min="13057" max="13057" width="6.28515625" style="1" customWidth="1"/>
    <col min="13058" max="13058" width="8.28515625" style="1" customWidth="1"/>
    <col min="13059" max="13059" width="12.7109375" style="1" customWidth="1"/>
    <col min="13060" max="13060" width="10.85546875" style="1" customWidth="1"/>
    <col min="13061" max="13061" width="9.5703125" style="1" customWidth="1"/>
    <col min="13062" max="13062" width="11.140625" style="1" customWidth="1"/>
    <col min="13063" max="13063" width="13.140625" style="1" customWidth="1"/>
    <col min="13064" max="13310" width="9.140625" style="1"/>
    <col min="13311" max="13311" width="4.7109375" style="1" customWidth="1"/>
    <col min="13312" max="13312" width="53.5703125" style="1" customWidth="1"/>
    <col min="13313" max="13313" width="6.28515625" style="1" customWidth="1"/>
    <col min="13314" max="13314" width="8.28515625" style="1" customWidth="1"/>
    <col min="13315" max="13315" width="12.7109375" style="1" customWidth="1"/>
    <col min="13316" max="13316" width="10.85546875" style="1" customWidth="1"/>
    <col min="13317" max="13317" width="9.5703125" style="1" customWidth="1"/>
    <col min="13318" max="13318" width="11.140625" style="1" customWidth="1"/>
    <col min="13319" max="13319" width="13.140625" style="1" customWidth="1"/>
    <col min="13320" max="13566" width="9.140625" style="1"/>
    <col min="13567" max="13567" width="4.7109375" style="1" customWidth="1"/>
    <col min="13568" max="13568" width="53.5703125" style="1" customWidth="1"/>
    <col min="13569" max="13569" width="6.28515625" style="1" customWidth="1"/>
    <col min="13570" max="13570" width="8.28515625" style="1" customWidth="1"/>
    <col min="13571" max="13571" width="12.7109375" style="1" customWidth="1"/>
    <col min="13572" max="13572" width="10.85546875" style="1" customWidth="1"/>
    <col min="13573" max="13573" width="9.5703125" style="1" customWidth="1"/>
    <col min="13574" max="13574" width="11.140625" style="1" customWidth="1"/>
    <col min="13575" max="13575" width="13.140625" style="1" customWidth="1"/>
    <col min="13576" max="13822" width="9.140625" style="1"/>
    <col min="13823" max="13823" width="4.7109375" style="1" customWidth="1"/>
    <col min="13824" max="13824" width="53.5703125" style="1" customWidth="1"/>
    <col min="13825" max="13825" width="6.28515625" style="1" customWidth="1"/>
    <col min="13826" max="13826" width="8.28515625" style="1" customWidth="1"/>
    <col min="13827" max="13827" width="12.7109375" style="1" customWidth="1"/>
    <col min="13828" max="13828" width="10.85546875" style="1" customWidth="1"/>
    <col min="13829" max="13829" width="9.5703125" style="1" customWidth="1"/>
    <col min="13830" max="13830" width="11.140625" style="1" customWidth="1"/>
    <col min="13831" max="13831" width="13.140625" style="1" customWidth="1"/>
    <col min="13832" max="14078" width="9.140625" style="1"/>
    <col min="14079" max="14079" width="4.7109375" style="1" customWidth="1"/>
    <col min="14080" max="14080" width="53.5703125" style="1" customWidth="1"/>
    <col min="14081" max="14081" width="6.28515625" style="1" customWidth="1"/>
    <col min="14082" max="14082" width="8.28515625" style="1" customWidth="1"/>
    <col min="14083" max="14083" width="12.7109375" style="1" customWidth="1"/>
    <col min="14084" max="14084" width="10.85546875" style="1" customWidth="1"/>
    <col min="14085" max="14085" width="9.5703125" style="1" customWidth="1"/>
    <col min="14086" max="14086" width="11.140625" style="1" customWidth="1"/>
    <col min="14087" max="14087" width="13.140625" style="1" customWidth="1"/>
    <col min="14088" max="14334" width="9.140625" style="1"/>
    <col min="14335" max="14335" width="4.7109375" style="1" customWidth="1"/>
    <col min="14336" max="14336" width="53.5703125" style="1" customWidth="1"/>
    <col min="14337" max="14337" width="6.28515625" style="1" customWidth="1"/>
    <col min="14338" max="14338" width="8.28515625" style="1" customWidth="1"/>
    <col min="14339" max="14339" width="12.7109375" style="1" customWidth="1"/>
    <col min="14340" max="14340" width="10.85546875" style="1" customWidth="1"/>
    <col min="14341" max="14341" width="9.5703125" style="1" customWidth="1"/>
    <col min="14342" max="14342" width="11.140625" style="1" customWidth="1"/>
    <col min="14343" max="14343" width="13.140625" style="1" customWidth="1"/>
    <col min="14344" max="14590" width="9.140625" style="1"/>
    <col min="14591" max="14591" width="4.7109375" style="1" customWidth="1"/>
    <col min="14592" max="14592" width="53.5703125" style="1" customWidth="1"/>
    <col min="14593" max="14593" width="6.28515625" style="1" customWidth="1"/>
    <col min="14594" max="14594" width="8.28515625" style="1" customWidth="1"/>
    <col min="14595" max="14595" width="12.7109375" style="1" customWidth="1"/>
    <col min="14596" max="14596" width="10.85546875" style="1" customWidth="1"/>
    <col min="14597" max="14597" width="9.5703125" style="1" customWidth="1"/>
    <col min="14598" max="14598" width="11.140625" style="1" customWidth="1"/>
    <col min="14599" max="14599" width="13.140625" style="1" customWidth="1"/>
    <col min="14600" max="14846" width="9.140625" style="1"/>
    <col min="14847" max="14847" width="4.7109375" style="1" customWidth="1"/>
    <col min="14848" max="14848" width="53.5703125" style="1" customWidth="1"/>
    <col min="14849" max="14849" width="6.28515625" style="1" customWidth="1"/>
    <col min="14850" max="14850" width="8.28515625" style="1" customWidth="1"/>
    <col min="14851" max="14851" width="12.7109375" style="1" customWidth="1"/>
    <col min="14852" max="14852" width="10.85546875" style="1" customWidth="1"/>
    <col min="14853" max="14853" width="9.5703125" style="1" customWidth="1"/>
    <col min="14854" max="14854" width="11.140625" style="1" customWidth="1"/>
    <col min="14855" max="14855" width="13.140625" style="1" customWidth="1"/>
    <col min="14856" max="15102" width="9.140625" style="1"/>
    <col min="15103" max="15103" width="4.7109375" style="1" customWidth="1"/>
    <col min="15104" max="15104" width="53.5703125" style="1" customWidth="1"/>
    <col min="15105" max="15105" width="6.28515625" style="1" customWidth="1"/>
    <col min="15106" max="15106" width="8.28515625" style="1" customWidth="1"/>
    <col min="15107" max="15107" width="12.7109375" style="1" customWidth="1"/>
    <col min="15108" max="15108" width="10.85546875" style="1" customWidth="1"/>
    <col min="15109" max="15109" width="9.5703125" style="1" customWidth="1"/>
    <col min="15110" max="15110" width="11.140625" style="1" customWidth="1"/>
    <col min="15111" max="15111" width="13.140625" style="1" customWidth="1"/>
    <col min="15112" max="15358" width="9.140625" style="1"/>
    <col min="15359" max="15359" width="4.7109375" style="1" customWidth="1"/>
    <col min="15360" max="15360" width="53.5703125" style="1" customWidth="1"/>
    <col min="15361" max="15361" width="6.28515625" style="1" customWidth="1"/>
    <col min="15362" max="15362" width="8.28515625" style="1" customWidth="1"/>
    <col min="15363" max="15363" width="12.7109375" style="1" customWidth="1"/>
    <col min="15364" max="15364" width="10.85546875" style="1" customWidth="1"/>
    <col min="15365" max="15365" width="9.5703125" style="1" customWidth="1"/>
    <col min="15366" max="15366" width="11.140625" style="1" customWidth="1"/>
    <col min="15367" max="15367" width="13.140625" style="1" customWidth="1"/>
    <col min="15368" max="15614" width="9.140625" style="1"/>
    <col min="15615" max="15615" width="4.7109375" style="1" customWidth="1"/>
    <col min="15616" max="15616" width="53.5703125" style="1" customWidth="1"/>
    <col min="15617" max="15617" width="6.28515625" style="1" customWidth="1"/>
    <col min="15618" max="15618" width="8.28515625" style="1" customWidth="1"/>
    <col min="15619" max="15619" width="12.7109375" style="1" customWidth="1"/>
    <col min="15620" max="15620" width="10.85546875" style="1" customWidth="1"/>
    <col min="15621" max="15621" width="9.5703125" style="1" customWidth="1"/>
    <col min="15622" max="15622" width="11.140625" style="1" customWidth="1"/>
    <col min="15623" max="15623" width="13.140625" style="1" customWidth="1"/>
    <col min="15624" max="15870" width="9.140625" style="1"/>
    <col min="15871" max="15871" width="4.7109375" style="1" customWidth="1"/>
    <col min="15872" max="15872" width="53.5703125" style="1" customWidth="1"/>
    <col min="15873" max="15873" width="6.28515625" style="1" customWidth="1"/>
    <col min="15874" max="15874" width="8.28515625" style="1" customWidth="1"/>
    <col min="15875" max="15875" width="12.7109375" style="1" customWidth="1"/>
    <col min="15876" max="15876" width="10.85546875" style="1" customWidth="1"/>
    <col min="15877" max="15877" width="9.5703125" style="1" customWidth="1"/>
    <col min="15878" max="15878" width="11.140625" style="1" customWidth="1"/>
    <col min="15879" max="15879" width="13.140625" style="1" customWidth="1"/>
    <col min="15880" max="16126" width="9.140625" style="1"/>
    <col min="16127" max="16127" width="4.7109375" style="1" customWidth="1"/>
    <col min="16128" max="16128" width="53.5703125" style="1" customWidth="1"/>
    <col min="16129" max="16129" width="6.28515625" style="1" customWidth="1"/>
    <col min="16130" max="16130" width="8.28515625" style="1" customWidth="1"/>
    <col min="16131" max="16131" width="12.7109375" style="1" customWidth="1"/>
    <col min="16132" max="16132" width="10.85546875" style="1" customWidth="1"/>
    <col min="16133" max="16133" width="9.5703125" style="1" customWidth="1"/>
    <col min="16134" max="16134" width="11.140625" style="1" customWidth="1"/>
    <col min="16135" max="16135" width="13.140625" style="1" customWidth="1"/>
    <col min="16136" max="16382" width="9.140625" style="1"/>
    <col min="16383" max="16383" width="9.140625" style="1" customWidth="1"/>
    <col min="16384" max="16384" width="9.140625" style="1"/>
  </cols>
  <sheetData>
    <row r="1" spans="1:10" ht="12.75">
      <c r="A1" s="533"/>
      <c r="B1" s="533"/>
      <c r="C1" s="533"/>
      <c r="D1" s="533"/>
      <c r="E1" s="533"/>
      <c r="F1" s="533"/>
      <c r="G1" s="533"/>
      <c r="H1" s="533"/>
    </row>
    <row r="2" spans="1:10" ht="15.75">
      <c r="A2" s="534" t="s">
        <v>171</v>
      </c>
      <c r="B2" s="534"/>
      <c r="C2" s="534"/>
      <c r="D2" s="534"/>
      <c r="E2" s="534"/>
      <c r="F2" s="534"/>
      <c r="G2" s="534"/>
      <c r="H2" s="534"/>
    </row>
    <row r="3" spans="1:10" ht="15.75">
      <c r="A3" s="61"/>
      <c r="B3" s="61"/>
      <c r="C3" s="61"/>
      <c r="D3" s="61"/>
      <c r="E3" s="52"/>
      <c r="F3" s="41"/>
      <c r="G3" s="41"/>
      <c r="H3" s="41"/>
    </row>
    <row r="4" spans="1:10" ht="12.75">
      <c r="A4" s="92"/>
      <c r="B4" s="3" t="s">
        <v>86</v>
      </c>
      <c r="C4" s="93"/>
      <c r="D4" s="94"/>
      <c r="E4" s="53"/>
      <c r="F4" s="42"/>
      <c r="G4" s="42"/>
      <c r="H4" s="42"/>
    </row>
    <row r="5" spans="1:10" ht="12.75">
      <c r="A5" s="92"/>
      <c r="B5" s="4" t="s">
        <v>0</v>
      </c>
      <c r="C5" s="5"/>
      <c r="D5" s="95"/>
      <c r="E5" s="54"/>
      <c r="F5" s="62"/>
      <c r="G5" s="42"/>
      <c r="H5" s="42"/>
    </row>
    <row r="6" spans="1:10" ht="12.75">
      <c r="A6" s="6"/>
      <c r="B6" s="4" t="s">
        <v>112</v>
      </c>
      <c r="C6" s="5"/>
      <c r="D6" s="96"/>
      <c r="E6" s="55"/>
      <c r="F6" s="43"/>
      <c r="G6" s="42"/>
      <c r="H6" s="42"/>
    </row>
    <row r="7" spans="1:10" ht="12.75">
      <c r="A7" s="92"/>
      <c r="B7" s="70" t="s">
        <v>281</v>
      </c>
      <c r="C7" s="5"/>
      <c r="D7" s="96"/>
      <c r="E7" s="55"/>
      <c r="F7" s="43"/>
      <c r="G7" s="42"/>
      <c r="H7" s="42"/>
    </row>
    <row r="8" spans="1:10" ht="12.75">
      <c r="A8" s="92"/>
      <c r="B8" s="4" t="s">
        <v>172</v>
      </c>
      <c r="C8" s="7"/>
      <c r="D8" s="96"/>
      <c r="E8" s="55"/>
      <c r="F8" s="43"/>
      <c r="G8" s="42"/>
      <c r="H8" s="42"/>
    </row>
    <row r="9" spans="1:10" ht="12.75">
      <c r="A9" s="92"/>
      <c r="B9" s="4" t="s">
        <v>87</v>
      </c>
      <c r="C9" s="5"/>
      <c r="D9" s="96"/>
      <c r="E9" s="55"/>
      <c r="F9" s="43"/>
      <c r="G9" s="42"/>
      <c r="H9" s="42"/>
    </row>
    <row r="10" spans="1:10" ht="12.75">
      <c r="A10" s="8"/>
      <c r="B10" s="70" t="s">
        <v>460</v>
      </c>
      <c r="C10" s="9"/>
      <c r="D10" s="10">
        <v>0.25</v>
      </c>
      <c r="E10" s="56"/>
      <c r="F10" s="44"/>
      <c r="G10" s="44"/>
      <c r="H10" s="44"/>
    </row>
    <row r="11" spans="1:10" ht="12.75">
      <c r="B11" s="69"/>
      <c r="C11" s="12"/>
      <c r="D11" s="12"/>
      <c r="E11" s="57"/>
      <c r="F11" s="45"/>
      <c r="G11" s="48"/>
      <c r="H11" s="48"/>
    </row>
    <row r="12" spans="1:10" s="15" customFormat="1" ht="21.75" customHeight="1">
      <c r="A12" s="233" t="s">
        <v>2</v>
      </c>
      <c r="B12" s="233" t="s">
        <v>3</v>
      </c>
      <c r="C12" s="233" t="s">
        <v>4</v>
      </c>
      <c r="D12" s="234" t="s">
        <v>5</v>
      </c>
      <c r="E12" s="235" t="s">
        <v>88</v>
      </c>
      <c r="F12" s="236" t="s">
        <v>6</v>
      </c>
      <c r="G12" s="236" t="s">
        <v>7</v>
      </c>
      <c r="H12" s="236" t="s">
        <v>8</v>
      </c>
      <c r="I12" s="236" t="s">
        <v>44</v>
      </c>
      <c r="J12" s="236" t="s">
        <v>106</v>
      </c>
    </row>
    <row r="13" spans="1:10" s="51" customFormat="1" ht="48">
      <c r="A13" s="495" t="str">
        <f>Orçamento!A31</f>
        <v>2.11</v>
      </c>
      <c r="B13" s="496" t="str">
        <f>Orçamento!B31</f>
        <v>ALAMBRADO PARA QUADRA POLIESPORTIVA, ESTRUTURADO POR TUBOS DE ACO GALVANIZADO, COM COSTURA, DIN 2440, DIAMETRO 2", COM TELA DE ARAME GALVANIZADO, FIO 14 BWG E MALHA QUADRADA 5X5CM</v>
      </c>
      <c r="C13" s="503" t="str">
        <f>Orçamento!C31</f>
        <v>m²</v>
      </c>
      <c r="D13" s="509">
        <f>Orçamento!D31</f>
        <v>775.92</v>
      </c>
      <c r="E13" s="497" t="str">
        <f>Orçamento!E31</f>
        <v>74244/001</v>
      </c>
      <c r="F13" s="498">
        <f>Orçamento!F31</f>
        <v>89.47</v>
      </c>
      <c r="G13" s="499">
        <f>Orçamento!G31</f>
        <v>111.83750000000001</v>
      </c>
      <c r="H13" s="499">
        <f>Orçamento!H31</f>
        <v>86776.95</v>
      </c>
      <c r="I13" s="68">
        <f t="shared" ref="I13:I42" si="0">H13/$H$44</f>
        <v>0.34817649292739139</v>
      </c>
      <c r="J13" s="68">
        <f>I13</f>
        <v>0.34817649292739139</v>
      </c>
    </row>
    <row r="14" spans="1:10" s="51" customFormat="1" ht="12.75">
      <c r="A14" s="495" t="str">
        <f>Orçamento!A66</f>
        <v>5.15</v>
      </c>
      <c r="B14" s="506" t="str">
        <f>Orçamento!B66</f>
        <v>PLANTIO DE GRAMA ESMERALDA  EM ROLO</v>
      </c>
      <c r="C14" s="507" t="str">
        <f>Orçamento!C66</f>
        <v>m²</v>
      </c>
      <c r="D14" s="508">
        <f>Orçamento!D66</f>
        <v>2604</v>
      </c>
      <c r="E14" s="501">
        <f>Orçamento!E66</f>
        <v>85180</v>
      </c>
      <c r="F14" s="498">
        <f>Orçamento!F66</f>
        <v>11.75</v>
      </c>
      <c r="G14" s="499">
        <f>Orçamento!G66</f>
        <v>14.6875</v>
      </c>
      <c r="H14" s="502">
        <f>Orçamento!H66</f>
        <v>38246.25</v>
      </c>
      <c r="I14" s="68">
        <f t="shared" si="0"/>
        <v>0.15345601790134641</v>
      </c>
      <c r="J14" s="68">
        <f>I14+J13</f>
        <v>0.50163251082873783</v>
      </c>
    </row>
    <row r="15" spans="1:10" s="51" customFormat="1" ht="36">
      <c r="A15" s="495" t="str">
        <f>Orçamento!A29</f>
        <v>2.9</v>
      </c>
      <c r="B15" s="506" t="str">
        <f>Orçamento!B29</f>
        <v>MEIO-FIO (GUIA) DE CONCRETO PRE-MOLDADO, DIMENSÕES 12X15X30X100CM,REJUNTADO C/ARGAMASSA 1:4 CIMENTO:AREIA, INCLUINDO ESCAVAÇÃO E REATERRO.</v>
      </c>
      <c r="C15" s="507" t="str">
        <f>Orçamento!C29</f>
        <v>m</v>
      </c>
      <c r="D15" s="510">
        <f>Orçamento!D29</f>
        <v>480.30999000000003</v>
      </c>
      <c r="E15" s="501" t="str">
        <f>Orçamento!E29</f>
        <v>74223/001</v>
      </c>
      <c r="F15" s="498">
        <f>Orçamento!F29</f>
        <v>36.86</v>
      </c>
      <c r="G15" s="499">
        <f>Orçamento!G29</f>
        <v>46.075000000000003</v>
      </c>
      <c r="H15" s="502">
        <f>Orçamento!H29</f>
        <v>22130.28</v>
      </c>
      <c r="I15" s="68">
        <f t="shared" si="0"/>
        <v>8.8793663270041068E-2</v>
      </c>
      <c r="J15" s="68">
        <f t="shared" ref="J15:J42" si="1">I15+J14</f>
        <v>0.59042617409877884</v>
      </c>
    </row>
    <row r="16" spans="1:10" s="60" customFormat="1" ht="24">
      <c r="A16" s="495" t="str">
        <f>Orçamento!A24</f>
        <v>2.4</v>
      </c>
      <c r="B16" s="496" t="str">
        <f>Orçamento!B24</f>
        <v>CONTRAPISO/LASTRO DE CONCRETO NAO-ESTRUTURAL, E=5CM, PREPARO COM BETONEIRA</v>
      </c>
      <c r="C16" s="503" t="str">
        <f>Orçamento!C24</f>
        <v>m²</v>
      </c>
      <c r="D16" s="504">
        <f>Orçamento!D24</f>
        <v>685.221</v>
      </c>
      <c r="E16" s="501" t="str">
        <f>Orçamento!E24</f>
        <v>73907/003</v>
      </c>
      <c r="F16" s="498">
        <f>Orçamento!F24</f>
        <v>21.09</v>
      </c>
      <c r="G16" s="499">
        <f>Orçamento!G24</f>
        <v>26.362500000000001</v>
      </c>
      <c r="H16" s="502">
        <f>Orçamento!H24</f>
        <v>18064.14</v>
      </c>
      <c r="I16" s="68">
        <f t="shared" si="0"/>
        <v>7.2479027125860129E-2</v>
      </c>
      <c r="J16" s="68">
        <f t="shared" si="1"/>
        <v>0.66290520122463903</v>
      </c>
    </row>
    <row r="17" spans="1:10" s="60" customFormat="1" ht="12.75">
      <c r="A17" s="495" t="str">
        <f>Orçamento!A35</f>
        <v>3.</v>
      </c>
      <c r="B17" s="496" t="str">
        <f>Orçamento!B35</f>
        <v>CONSTRUÇÃO DE ARQUIBANCADA</v>
      </c>
      <c r="C17" s="503">
        <f>Orçamento!C35</f>
        <v>0</v>
      </c>
      <c r="D17" s="504">
        <f>Orçamento!D35</f>
        <v>0</v>
      </c>
      <c r="E17" s="501">
        <f>Orçamento!E35</f>
        <v>0</v>
      </c>
      <c r="F17" s="498">
        <f>Orçamento!F35</f>
        <v>0</v>
      </c>
      <c r="G17" s="499">
        <f>Orçamento!G35</f>
        <v>0</v>
      </c>
      <c r="H17" s="502">
        <f>Orçamento!H35</f>
        <v>12166.25</v>
      </c>
      <c r="I17" s="68">
        <f t="shared" si="0"/>
        <v>4.8814832246096174E-2</v>
      </c>
      <c r="J17" s="68">
        <f t="shared" si="1"/>
        <v>0.7117200334707352</v>
      </c>
    </row>
    <row r="18" spans="1:10" s="60" customFormat="1" ht="24">
      <c r="A18" s="495" t="str">
        <f>Orçamento!A53</f>
        <v>5.2</v>
      </c>
      <c r="B18" s="506" t="str">
        <f>Orçamento!B53</f>
        <v>EXECUCAO DE DRENO COM TUBOS DE PVC CORRUGADO FLEXIVEL PERFURADO - DN 100</v>
      </c>
      <c r="C18" s="507">
        <f>Orçamento!C53</f>
        <v>0</v>
      </c>
      <c r="D18" s="510">
        <f>Orçamento!D53</f>
        <v>377.57999999999993</v>
      </c>
      <c r="E18" s="501">
        <f>Orçamento!E53</f>
        <v>83651</v>
      </c>
      <c r="F18" s="498">
        <f>Orçamento!F53</f>
        <v>22.24</v>
      </c>
      <c r="G18" s="499">
        <f>Orçamento!G53</f>
        <v>27.799999999999997</v>
      </c>
      <c r="H18" s="502">
        <f>Orçamento!H53</f>
        <v>10496.72</v>
      </c>
      <c r="I18" s="68">
        <f t="shared" si="0"/>
        <v>4.2116151314845793E-2</v>
      </c>
      <c r="J18" s="68">
        <f t="shared" si="1"/>
        <v>0.75383618478558101</v>
      </c>
    </row>
    <row r="19" spans="1:10" s="51" customFormat="1" ht="48">
      <c r="A19" s="495" t="str">
        <f>Orçamento!A37</f>
        <v>3.2</v>
      </c>
      <c r="B19" s="496" t="str">
        <f>Orçamento!B37</f>
        <v xml:space="preserve">ALVENARIA DE VEDAÇÃO DE BLOCOS CERÂMICOS FURADOS NA VERTICAL DE 9X19X3 9CM (ESPESSURA 9CM) DE PAREDES COM ÁREA LÍQUIDA MAIOR OU IGUAL A 6M² SEM VÃOS E ARGAMASSA DE ASSENTAMENTO COM PREPARO EM BETONEIRA. </v>
      </c>
      <c r="C19" s="495" t="str">
        <f>Orçamento!C37</f>
        <v>m²</v>
      </c>
      <c r="D19" s="500">
        <f>Orçamento!D37</f>
        <v>157.81800000000001</v>
      </c>
      <c r="E19" s="501">
        <f>Orçamento!E37</f>
        <v>87477</v>
      </c>
      <c r="F19" s="498">
        <f>Orçamento!F37</f>
        <v>24.41</v>
      </c>
      <c r="G19" s="502">
        <f>Orçamento!G37</f>
        <v>30.512499999999999</v>
      </c>
      <c r="H19" s="502">
        <f>Orçamento!H37</f>
        <v>4815.42</v>
      </c>
      <c r="I19" s="68">
        <f t="shared" si="0"/>
        <v>1.9320983827760933E-2</v>
      </c>
      <c r="J19" s="68">
        <f t="shared" si="1"/>
        <v>0.77315716861334194</v>
      </c>
    </row>
    <row r="20" spans="1:10" s="51" customFormat="1" ht="24">
      <c r="A20" s="495" t="str">
        <f>Orçamento!A40</f>
        <v>3.5</v>
      </c>
      <c r="B20" s="496" t="str">
        <f>Orçamento!B40</f>
        <v>CONTRAPISO/LASTRO DE CONCRETO NAO-ESTRUTURAL, E=5CM, PREPARO COM BETONEIRA</v>
      </c>
      <c r="C20" s="495" t="str">
        <f>Orçamento!C40</f>
        <v>m³</v>
      </c>
      <c r="D20" s="500">
        <f>Orçamento!D40</f>
        <v>160.81799999999998</v>
      </c>
      <c r="E20" s="501" t="str">
        <f>Orçamento!E40</f>
        <v>73907/003</v>
      </c>
      <c r="F20" s="498">
        <f>Orçamento!F40</f>
        <v>21.09</v>
      </c>
      <c r="G20" s="502">
        <f>Orçamento!G40</f>
        <v>26.362500000000001</v>
      </c>
      <c r="H20" s="502">
        <f>Orçamento!H40</f>
        <v>4239.5600000000004</v>
      </c>
      <c r="I20" s="68">
        <f t="shared" si="0"/>
        <v>1.7010451881003558E-2</v>
      </c>
      <c r="J20" s="68">
        <f t="shared" si="1"/>
        <v>0.79016762049434552</v>
      </c>
    </row>
    <row r="21" spans="1:10" s="51" customFormat="1" ht="24">
      <c r="A21" s="495" t="str">
        <f>Orçamento!A90</f>
        <v>9.2</v>
      </c>
      <c r="B21" s="496" t="str">
        <f>Orçamento!B90</f>
        <v>PAR DE TRAVES OFICIAL - 3,00X2,00M - EM TUBO DE AÇO GALV 3" COM UM REQUADRO E REDES POLIETILENO FIO 4MM).</v>
      </c>
      <c r="C21" s="503" t="str">
        <f>Orçamento!C90</f>
        <v xml:space="preserve">und </v>
      </c>
      <c r="D21" s="505">
        <f>Orçamento!D90</f>
        <v>1</v>
      </c>
      <c r="E21" s="501">
        <f>Orçamento!E90</f>
        <v>25398</v>
      </c>
      <c r="F21" s="498">
        <f>Orçamento!F90</f>
        <v>3130.04</v>
      </c>
      <c r="G21" s="502">
        <f>Orçamento!G90</f>
        <v>3912.55</v>
      </c>
      <c r="H21" s="502">
        <f>Orçamento!H90</f>
        <v>3912.55</v>
      </c>
      <c r="I21" s="68">
        <f t="shared" si="0"/>
        <v>1.5698384621758026E-2</v>
      </c>
      <c r="J21" s="68">
        <f t="shared" si="1"/>
        <v>0.80586600511610351</v>
      </c>
    </row>
    <row r="22" spans="1:10" s="51" customFormat="1" ht="12.75">
      <c r="A22" s="495" t="str">
        <f>Orçamento!A62</f>
        <v>5.11</v>
      </c>
      <c r="B22" s="506" t="str">
        <f>Orçamento!B62</f>
        <v>REATERRO COMPACTADO EM TERRA VEGETAL</v>
      </c>
      <c r="C22" s="507" t="str">
        <f>Orçamento!C62</f>
        <v>m³</v>
      </c>
      <c r="D22" s="508">
        <f>Orçamento!D62</f>
        <v>390.59999999999997</v>
      </c>
      <c r="E22" s="501" t="str">
        <f>Orçamento!E62</f>
        <v>1 A 01 111 01</v>
      </c>
      <c r="F22" s="498">
        <f>Orçamento!F62</f>
        <v>7.34</v>
      </c>
      <c r="G22" s="502">
        <f>Orçamento!G62</f>
        <v>9.1750000000000007</v>
      </c>
      <c r="H22" s="502">
        <f>Orçamento!H62</f>
        <v>3583.76</v>
      </c>
      <c r="I22" s="68">
        <f t="shared" si="0"/>
        <v>1.4379175441098912E-2</v>
      </c>
      <c r="J22" s="68">
        <f t="shared" si="1"/>
        <v>0.82024518055720241</v>
      </c>
    </row>
    <row r="23" spans="1:10" s="51" customFormat="1" ht="12.75">
      <c r="A23" s="495" t="str">
        <f>Orçamento!A93</f>
        <v>10.1</v>
      </c>
      <c r="B23" s="506" t="str">
        <f>Orçamento!B93</f>
        <v>LIMPEZA FINAL DA OBRA</v>
      </c>
      <c r="C23" s="507" t="str">
        <f>Orçamento!C93</f>
        <v>m²</v>
      </c>
      <c r="D23" s="508">
        <f>Orçamento!D93</f>
        <v>1752</v>
      </c>
      <c r="E23" s="501">
        <f>Orçamento!E93</f>
        <v>9537</v>
      </c>
      <c r="F23" s="498">
        <f>Orçamento!F93</f>
        <v>1.51</v>
      </c>
      <c r="G23" s="502">
        <f>Orçamento!G93</f>
        <v>1.8875</v>
      </c>
      <c r="H23" s="502">
        <f>Orçamento!H93</f>
        <v>3306.9</v>
      </c>
      <c r="I23" s="68">
        <f t="shared" si="0"/>
        <v>1.3268325799208091E-2</v>
      </c>
      <c r="J23" s="68">
        <f t="shared" si="1"/>
        <v>0.83351350635641053</v>
      </c>
    </row>
    <row r="24" spans="1:10" s="51" customFormat="1" ht="12.75">
      <c r="A24" s="495" t="str">
        <f>Orçamento!A25</f>
        <v>2.5</v>
      </c>
      <c r="B24" s="496" t="str">
        <f>Orçamento!B25</f>
        <v xml:space="preserve">REBOCO ARGAMASSA TRACO 1:2 </v>
      </c>
      <c r="C24" s="503" t="str">
        <f>Orçamento!C25</f>
        <v>m²</v>
      </c>
      <c r="D24" s="505">
        <f>Orçamento!D25</f>
        <v>233.67999999999998</v>
      </c>
      <c r="E24" s="501">
        <f>Orçamento!E25</f>
        <v>75481</v>
      </c>
      <c r="F24" s="498">
        <f>Orçamento!F25</f>
        <v>10.97</v>
      </c>
      <c r="G24" s="502">
        <f>Orçamento!G25</f>
        <v>13.7125</v>
      </c>
      <c r="H24" s="502">
        <f>Orçamento!H25</f>
        <v>3204.34</v>
      </c>
      <c r="I24" s="68">
        <f t="shared" si="0"/>
        <v>1.285682273169266E-2</v>
      </c>
      <c r="J24" s="68">
        <f t="shared" si="1"/>
        <v>0.84637032908810317</v>
      </c>
    </row>
    <row r="25" spans="1:10" s="40" customFormat="1" ht="36">
      <c r="A25" s="495" t="str">
        <f>Orçamento!A32</f>
        <v>2.12</v>
      </c>
      <c r="B25" s="506" t="str">
        <f>Orçamento!B32</f>
        <v xml:space="preserve"> PINTURA A OLEO BRILHANTE SOBRE SUPERFICIE METALICA, UMA DEMAO INCLUSO 
UMA DEMAO DE FUNDO ANTICORROSIVO</v>
      </c>
      <c r="C25" s="507" t="str">
        <f>Orçamento!C32</f>
        <v>m²</v>
      </c>
      <c r="D25" s="508">
        <f>Orçamento!D32</f>
        <v>232.77799999999999</v>
      </c>
      <c r="E25" s="501" t="str">
        <f>Orçamento!E32</f>
        <v>79498/001</v>
      </c>
      <c r="F25" s="498">
        <f>Orçamento!F32</f>
        <v>10.41</v>
      </c>
      <c r="G25" s="502">
        <f>Orçamento!G32</f>
        <v>13.012499999999999</v>
      </c>
      <c r="H25" s="502">
        <f>Orçamento!H32</f>
        <v>3029.02</v>
      </c>
      <c r="I25" s="68">
        <f t="shared" si="0"/>
        <v>1.2153383595608361E-2</v>
      </c>
      <c r="J25" s="68">
        <f t="shared" si="1"/>
        <v>0.85852371268371153</v>
      </c>
    </row>
    <row r="26" spans="1:10" s="51" customFormat="1" ht="12.75">
      <c r="A26" s="495" t="str">
        <f>Orçamento!A61</f>
        <v>5.10</v>
      </c>
      <c r="B26" s="506" t="str">
        <f>Orçamento!B61</f>
        <v>TAMPA DA CANALETA EM LAJE PRE MOLDADA</v>
      </c>
      <c r="C26" s="507" t="str">
        <f>Orçamento!C61</f>
        <v>M²</v>
      </c>
      <c r="D26" s="508">
        <f>Orçamento!D61</f>
        <v>36.4</v>
      </c>
      <c r="E26" s="501" t="str">
        <f>Orçamento!E61</f>
        <v>74202/002</v>
      </c>
      <c r="F26" s="498">
        <f>Orçamento!F61</f>
        <v>63.65</v>
      </c>
      <c r="G26" s="502">
        <f>Orçamento!G61</f>
        <v>79.5625</v>
      </c>
      <c r="H26" s="502">
        <f>Orçamento!H61</f>
        <v>2896.08</v>
      </c>
      <c r="I26" s="68">
        <f t="shared" si="0"/>
        <v>1.1619986386213846E-2</v>
      </c>
      <c r="J26" s="68">
        <f t="shared" si="1"/>
        <v>0.87014369906992539</v>
      </c>
    </row>
    <row r="27" spans="1:10" s="51" customFormat="1" ht="12.75">
      <c r="A27" s="495" t="str">
        <f>Orçamento!A55</f>
        <v>5.4</v>
      </c>
      <c r="B27" s="506" t="str">
        <f>Orçamento!B55</f>
        <v>FORNECIMENTO E INSTALACAO DE MANTA BIDIM RT - 14</v>
      </c>
      <c r="C27" s="507" t="str">
        <f>Orçamento!C55</f>
        <v>m²</v>
      </c>
      <c r="D27" s="508">
        <f>Orçamento!D55</f>
        <v>226.54799999999997</v>
      </c>
      <c r="E27" s="501">
        <f>Orçamento!E55</f>
        <v>83665</v>
      </c>
      <c r="F27" s="498">
        <f>Orçamento!F55</f>
        <v>9.73</v>
      </c>
      <c r="G27" s="502">
        <f>Orçamento!G55</f>
        <v>12.162500000000001</v>
      </c>
      <c r="H27" s="502">
        <f>Orçamento!H55</f>
        <v>2755.39</v>
      </c>
      <c r="I27" s="68">
        <f t="shared" si="0"/>
        <v>1.1055493732462422E-2</v>
      </c>
      <c r="J27" s="68">
        <f t="shared" si="1"/>
        <v>0.88119919280238779</v>
      </c>
    </row>
    <row r="28" spans="1:10" s="51" customFormat="1" ht="12.75">
      <c r="A28" s="495" t="str">
        <f>Orçamento!A86</f>
        <v>8.1</v>
      </c>
      <c r="B28" s="506" t="str">
        <f>Orçamento!B86</f>
        <v>PISO TÁTIL ANTI DERRAPANTE</v>
      </c>
      <c r="C28" s="507" t="str">
        <f>Orçamento!C86</f>
        <v>m²</v>
      </c>
      <c r="D28" s="508">
        <f>Orçamento!D86</f>
        <v>23.852499999999999</v>
      </c>
      <c r="E28" s="501">
        <f>Orçamento!E86</f>
        <v>84186</v>
      </c>
      <c r="F28" s="498">
        <f>Orçamento!F86</f>
        <v>83.92</v>
      </c>
      <c r="G28" s="502">
        <f>Orçamento!G86</f>
        <v>104.9</v>
      </c>
      <c r="H28" s="502">
        <f>Orçamento!H86</f>
        <v>2502.13</v>
      </c>
      <c r="I28" s="68">
        <f t="shared" si="0"/>
        <v>1.0039334734032642E-2</v>
      </c>
      <c r="J28" s="68">
        <f t="shared" si="1"/>
        <v>0.89123852753642041</v>
      </c>
    </row>
    <row r="29" spans="1:10" s="51" customFormat="1" ht="12.75">
      <c r="A29" s="495" t="str">
        <f>Orçamento!A89</f>
        <v>9.1</v>
      </c>
      <c r="B29" s="496" t="str">
        <f>Orçamento!B89</f>
        <v xml:space="preserve">CONJUNTO P/VOLEI(POSTES GALVANIZADO H=255 REDE NYLON 2 MM </v>
      </c>
      <c r="C29" s="503" t="str">
        <f>Orçamento!C89</f>
        <v xml:space="preserve">und </v>
      </c>
      <c r="D29" s="505">
        <f>Orçamento!D89</f>
        <v>1</v>
      </c>
      <c r="E29" s="501">
        <f>Orçamento!E89</f>
        <v>25399</v>
      </c>
      <c r="F29" s="498">
        <f>Orçamento!F89</f>
        <v>1920</v>
      </c>
      <c r="G29" s="502">
        <f>Orçamento!G89</f>
        <v>2400</v>
      </c>
      <c r="H29" s="502">
        <f>Orçamento!H89</f>
        <v>2400</v>
      </c>
      <c r="I29" s="68">
        <f t="shared" si="0"/>
        <v>9.6295569621395929E-3</v>
      </c>
      <c r="J29" s="68">
        <f t="shared" si="1"/>
        <v>0.90086808449856004</v>
      </c>
    </row>
    <row r="30" spans="1:10" s="51" customFormat="1" ht="48">
      <c r="A30" s="495" t="str">
        <f>Orçamento!A23</f>
        <v>2.3</v>
      </c>
      <c r="B30" s="496" t="str">
        <f>Orçamento!B23</f>
        <v xml:space="preserve">ALVENARIA DE VEDAÇÃO DE BLOCOS CERÂMICOS FURADOS NA VERTICAL DE 9X19X3 9CM (ESPESSURA 9CM) DE PAREDES COM ÁREA LÍQUIDA MAIOR OU IGUAL A 6M² SEM VÃOS E ARGAMASSA DE ASSENTAMENTO COM PREPARO EM BETONEIRA. </v>
      </c>
      <c r="C30" s="503" t="str">
        <f>Orçamento!C23</f>
        <v>m²</v>
      </c>
      <c r="D30" s="500">
        <f>Orçamento!D23</f>
        <v>76.69</v>
      </c>
      <c r="E30" s="501">
        <f>Orçamento!E23</f>
        <v>87477</v>
      </c>
      <c r="F30" s="498">
        <f>Orçamento!F23</f>
        <v>24.41</v>
      </c>
      <c r="G30" s="502">
        <f>Orçamento!G23</f>
        <v>30.512499999999999</v>
      </c>
      <c r="H30" s="502">
        <f>Orçamento!H23</f>
        <v>2340</v>
      </c>
      <c r="I30" s="68">
        <f t="shared" si="0"/>
        <v>9.3888180380861021E-3</v>
      </c>
      <c r="J30" s="68">
        <f t="shared" si="1"/>
        <v>0.91025690253664615</v>
      </c>
    </row>
    <row r="31" spans="1:10" s="40" customFormat="1" ht="48">
      <c r="A31" s="495" t="str">
        <f>Orçamento!A22</f>
        <v>2.2</v>
      </c>
      <c r="B31" s="496" t="str">
        <f>Orçamento!B22</f>
        <v>ALVENARIA EM TIJOLO CERAMICO FURADO 9X19X19CM, 1 VEZ (ESPESSURA 19 CM), ASSENTADO EM ARGAMASSA TRACO 1:4 (CIMENTO E AREIA MEDIA NAO PENEIRADA), PREPARO MANUAL, JUNTA1 CM</v>
      </c>
      <c r="C31" s="503" t="str">
        <f>Orçamento!C22</f>
        <v>m²</v>
      </c>
      <c r="D31" s="500">
        <f>Orçamento!D22</f>
        <v>38.988</v>
      </c>
      <c r="E31" s="501" t="str">
        <f>Orçamento!E22</f>
        <v>73935/002</v>
      </c>
      <c r="F31" s="498">
        <f>Orçamento!F22</f>
        <v>47.98</v>
      </c>
      <c r="G31" s="502">
        <f>Orçamento!G22</f>
        <v>59.974999999999994</v>
      </c>
      <c r="H31" s="502">
        <f>Orçamento!H22</f>
        <v>2338.31</v>
      </c>
      <c r="I31" s="68">
        <f t="shared" si="0"/>
        <v>9.3820372250585961E-3</v>
      </c>
      <c r="J31" s="68">
        <f t="shared" si="1"/>
        <v>0.91963893976170474</v>
      </c>
    </row>
    <row r="32" spans="1:10" s="51" customFormat="1" ht="12.75">
      <c r="A32" s="495" t="str">
        <f>Orçamento!A83</f>
        <v>7.3</v>
      </c>
      <c r="B32" s="506" t="str">
        <f>Orçamento!B83</f>
        <v>AREIA MEDIA - POSTO JAZIDA/FORNECEDOR</v>
      </c>
      <c r="C32" s="507" t="str">
        <f>Orçamento!C83</f>
        <v>m³</v>
      </c>
      <c r="D32" s="508">
        <f>Orçamento!D83</f>
        <v>36</v>
      </c>
      <c r="E32" s="501">
        <f>Orçamento!E83</f>
        <v>370</v>
      </c>
      <c r="F32" s="498">
        <f>Orçamento!F83</f>
        <v>50</v>
      </c>
      <c r="G32" s="502">
        <f>Orçamento!G83</f>
        <v>62.5</v>
      </c>
      <c r="H32" s="502">
        <f>Orçamento!H83</f>
        <v>2250</v>
      </c>
      <c r="I32" s="68">
        <f t="shared" si="0"/>
        <v>9.0277096520058678E-3</v>
      </c>
      <c r="J32" s="68">
        <f t="shared" si="1"/>
        <v>0.92866664941371058</v>
      </c>
    </row>
    <row r="33" spans="1:10" s="51" customFormat="1" ht="12.75">
      <c r="A33" s="495" t="str">
        <f>Orçamento!A26</f>
        <v>2.6</v>
      </c>
      <c r="B33" s="496" t="str">
        <f>Orçamento!B26</f>
        <v>PORTAO DE FERRO COM VARA 1/2", COM REQUADRO</v>
      </c>
      <c r="C33" s="503" t="str">
        <f>Orçamento!C26</f>
        <v>m²</v>
      </c>
      <c r="D33" s="505">
        <f>Orçamento!D26</f>
        <v>5</v>
      </c>
      <c r="E33" s="501" t="str">
        <f>Orçamento!E26</f>
        <v>74100/001</v>
      </c>
      <c r="F33" s="498">
        <f>Orçamento!F26</f>
        <v>337.33</v>
      </c>
      <c r="G33" s="502">
        <f>Orçamento!G26</f>
        <v>421.66249999999997</v>
      </c>
      <c r="H33" s="502">
        <f>Orçamento!H26</f>
        <v>2108.31</v>
      </c>
      <c r="I33" s="68">
        <f t="shared" si="0"/>
        <v>8.4592046828535512E-3</v>
      </c>
      <c r="J33" s="68">
        <f t="shared" si="1"/>
        <v>0.93712585409656413</v>
      </c>
    </row>
    <row r="34" spans="1:10" s="40" customFormat="1" ht="12.75">
      <c r="A34" s="495" t="str">
        <f>Orçamento!A15</f>
        <v>1.1</v>
      </c>
      <c r="B34" s="496" t="str">
        <f>Orçamento!B15</f>
        <v>PLACA DE OBRA</v>
      </c>
      <c r="C34" s="495" t="str">
        <f>Orçamento!C15</f>
        <v>m²</v>
      </c>
      <c r="D34" s="511">
        <f>Orçamento!D15</f>
        <v>6</v>
      </c>
      <c r="E34" s="501" t="str">
        <f>Orçamento!E15</f>
        <v>74209/001</v>
      </c>
      <c r="F34" s="498">
        <f>Orçamento!F15</f>
        <v>281.08999999999997</v>
      </c>
      <c r="G34" s="502">
        <f>Orçamento!G15</f>
        <v>351.36249999999995</v>
      </c>
      <c r="H34" s="502">
        <f>Orçamento!H15</f>
        <v>2108.1799999999998</v>
      </c>
      <c r="I34" s="68">
        <f t="shared" si="0"/>
        <v>8.4586830818514352E-3</v>
      </c>
      <c r="J34" s="68">
        <f t="shared" si="1"/>
        <v>0.94558453717841551</v>
      </c>
    </row>
    <row r="35" spans="1:10" s="51" customFormat="1" ht="24">
      <c r="A35" s="495" t="str">
        <f>Orçamento!A17</f>
        <v>1.3</v>
      </c>
      <c r="B35" s="496" t="str">
        <f>Orçamento!B17</f>
        <v>LIMPEZA MECANIZADA DE TERRENO COM REMOCAO DE CAMADA VEGETAL, UTILIZANDO MOTONIVELADORA</v>
      </c>
      <c r="C35" s="503" t="str">
        <f>Orçamento!C17</f>
        <v>m²</v>
      </c>
      <c r="D35" s="505">
        <f>Orçamento!D17</f>
        <v>3504</v>
      </c>
      <c r="E35" s="501" t="str">
        <f>Orçamento!E17</f>
        <v>73822/002</v>
      </c>
      <c r="F35" s="498">
        <f>Orçamento!F17</f>
        <v>0.46</v>
      </c>
      <c r="G35" s="502">
        <f>Orçamento!G17</f>
        <v>0.57500000000000007</v>
      </c>
      <c r="H35" s="502">
        <f>Orçamento!H17</f>
        <v>2014.8</v>
      </c>
      <c r="I35" s="68">
        <f t="shared" si="0"/>
        <v>8.084013069716187E-3</v>
      </c>
      <c r="J35" s="68">
        <f t="shared" si="1"/>
        <v>0.95366855024813169</v>
      </c>
    </row>
    <row r="36" spans="1:10" s="40" customFormat="1" ht="24">
      <c r="A36" s="495" t="str">
        <f>Orçamento!A18</f>
        <v>1.4</v>
      </c>
      <c r="B36" s="496" t="str">
        <f>Orçamento!B18</f>
        <v>TRANSPORTE E BOTA FORA MATERIAL DE QUALQUER NATUREZA DMT 5 KM</v>
      </c>
      <c r="C36" s="503" t="str">
        <f>Orçamento!C18</f>
        <v>TXKM</v>
      </c>
      <c r="D36" s="500">
        <f>Orçamento!D18</f>
        <v>350.40000000000003</v>
      </c>
      <c r="E36" s="501">
        <f>Orçamento!E18</f>
        <v>72899</v>
      </c>
      <c r="F36" s="498">
        <f>Orçamento!F18</f>
        <v>4.59</v>
      </c>
      <c r="G36" s="502">
        <f>Orçamento!G18</f>
        <v>5.7374999999999998</v>
      </c>
      <c r="H36" s="502">
        <f>Orçamento!H18</f>
        <v>2010.42</v>
      </c>
      <c r="I36" s="68">
        <f t="shared" si="0"/>
        <v>8.0664391282602842E-3</v>
      </c>
      <c r="J36" s="68">
        <f t="shared" si="1"/>
        <v>0.96173498937639201</v>
      </c>
    </row>
    <row r="37" spans="1:10" s="51" customFormat="1" ht="12.75">
      <c r="A37" s="495" t="str">
        <f>Orçamento!A63</f>
        <v>5.12</v>
      </c>
      <c r="B37" s="506" t="str">
        <f>Orçamento!B63</f>
        <v>TRANSPORTE DE MATERIAL DE QUALQUER NATUREZA DMT 5 KM</v>
      </c>
      <c r="C37" s="507" t="str">
        <f>Orçamento!C63</f>
        <v>TXKM</v>
      </c>
      <c r="D37" s="508">
        <f>Orçamento!D63</f>
        <v>350.40000000000003</v>
      </c>
      <c r="E37" s="501">
        <f>Orçamento!E63</f>
        <v>72899</v>
      </c>
      <c r="F37" s="498">
        <f>Orçamento!F63</f>
        <v>4.59</v>
      </c>
      <c r="G37" s="502">
        <f>Orçamento!G63</f>
        <v>5.7374999999999998</v>
      </c>
      <c r="H37" s="502">
        <f>Orçamento!H63</f>
        <v>2010.42</v>
      </c>
      <c r="I37" s="68">
        <f t="shared" si="0"/>
        <v>8.0664391282602842E-3</v>
      </c>
      <c r="J37" s="68">
        <f t="shared" si="1"/>
        <v>0.96980142850465234</v>
      </c>
    </row>
    <row r="38" spans="1:10" s="51" customFormat="1" ht="12.75">
      <c r="A38" s="495" t="str">
        <f>Orçamento!A16</f>
        <v>1.2</v>
      </c>
      <c r="B38" s="496" t="str">
        <f>Orçamento!B16</f>
        <v>ALUGUEL CONTAINER</v>
      </c>
      <c r="C38" s="495" t="str">
        <f>Orçamento!C16</f>
        <v>MÊS</v>
      </c>
      <c r="D38" s="500">
        <f>Orçamento!D16</f>
        <v>3</v>
      </c>
      <c r="E38" s="501" t="str">
        <f>Orçamento!E16</f>
        <v>73847/001</v>
      </c>
      <c r="F38" s="498">
        <f>Orçamento!F16</f>
        <v>507.81</v>
      </c>
      <c r="G38" s="502">
        <f>Orçamento!G16</f>
        <v>634.76250000000005</v>
      </c>
      <c r="H38" s="502">
        <f>Orçamento!H16</f>
        <v>1904.29</v>
      </c>
      <c r="I38" s="68">
        <f t="shared" si="0"/>
        <v>7.6406120947636689E-3</v>
      </c>
      <c r="J38" s="68">
        <f t="shared" si="1"/>
        <v>0.97744204059941597</v>
      </c>
    </row>
    <row r="39" spans="1:10" s="51" customFormat="1" ht="48">
      <c r="A39" s="495" t="str">
        <f>Orçamento!A46</f>
        <v>4.2</v>
      </c>
      <c r="B39" s="506" t="str">
        <f>Orçamento!B46</f>
        <v xml:space="preserve">ALVENARIA DE VEDAÇÃO DE BLOCOS CERÂMICOS FURADOS NA VERTICAL DE 9X19X3 9CM (ESPESSURA 9CM) DE PAREDES COM ÁREA LÍQUIDA MAIOR OU IGUAL A 6M² SEM VÃOS E ARGAMASSA DE ASSENTAMENTO COM PREPARO EM BETONEIRA. </v>
      </c>
      <c r="C39" s="507" t="str">
        <f>Orçamento!C46</f>
        <v>m²</v>
      </c>
      <c r="D39" s="508">
        <f>Orçamento!D46</f>
        <v>51.088999999999999</v>
      </c>
      <c r="E39" s="501">
        <f>Orçamento!E46</f>
        <v>87477</v>
      </c>
      <c r="F39" s="498">
        <f>Orçamento!F46</f>
        <v>24.41</v>
      </c>
      <c r="G39" s="502">
        <f>Orçamento!G46</f>
        <v>30.512499999999999</v>
      </c>
      <c r="H39" s="502">
        <f>Orçamento!H46</f>
        <v>1558.85</v>
      </c>
      <c r="I39" s="68">
        <f t="shared" si="0"/>
        <v>6.2545978626797095E-3</v>
      </c>
      <c r="J39" s="68">
        <f t="shared" si="1"/>
        <v>0.98369663846209565</v>
      </c>
    </row>
    <row r="40" spans="1:10" s="51" customFormat="1" ht="24">
      <c r="A40" s="495" t="str">
        <f>Orçamento!A33</f>
        <v>2.13</v>
      </c>
      <c r="B40" s="496" t="str">
        <f>Orçamento!B33</f>
        <v>PINTURA COM TINTA EM PO INDUSTRIALIZADA A BASE DE CAL, DUAS DEMAOS</v>
      </c>
      <c r="C40" s="495" t="str">
        <f>Orçamento!C33</f>
        <v>m²</v>
      </c>
      <c r="D40" s="500">
        <f>Orçamento!D33</f>
        <v>233.6799</v>
      </c>
      <c r="E40" s="501" t="str">
        <f>Orçamento!E33</f>
        <v xml:space="preserve">73791/001 </v>
      </c>
      <c r="F40" s="498">
        <f>Orçamento!F33</f>
        <v>4.74</v>
      </c>
      <c r="G40" s="502">
        <f>Orçamento!G33</f>
        <v>5.9250000000000007</v>
      </c>
      <c r="H40" s="502">
        <f>Orçamento!H33</f>
        <v>1384.55</v>
      </c>
      <c r="I40" s="68">
        <f t="shared" si="0"/>
        <v>5.555251288304322E-3</v>
      </c>
      <c r="J40" s="68">
        <f t="shared" si="1"/>
        <v>0.98925188975040002</v>
      </c>
    </row>
    <row r="41" spans="1:10" s="51" customFormat="1" ht="36">
      <c r="A41" s="495" t="str">
        <f>Orçamento!A60</f>
        <v>5.9</v>
      </c>
      <c r="B41" s="506" t="str">
        <f>Orçamento!B60</f>
        <v>CANALETA TRIANGULAR 70X20 CM, COM ESPESSURA DE 7 CM (VOLUME DE CONCRETO = 
0,053 M3/M)</v>
      </c>
      <c r="C41" s="507" t="str">
        <f>Orçamento!C60</f>
        <v>m</v>
      </c>
      <c r="D41" s="508">
        <f>Orçamento!D60</f>
        <v>52</v>
      </c>
      <c r="E41" s="501">
        <f>Orçamento!E60</f>
        <v>83687</v>
      </c>
      <c r="F41" s="498">
        <f>Orçamento!F60</f>
        <v>20.399999999999999</v>
      </c>
      <c r="G41" s="502">
        <f>Orçamento!G60</f>
        <v>25.5</v>
      </c>
      <c r="H41" s="502">
        <f>Orçamento!H60</f>
        <v>1326</v>
      </c>
      <c r="I41" s="68">
        <f t="shared" si="0"/>
        <v>5.3203302215821249E-3</v>
      </c>
      <c r="J41" s="68">
        <f t="shared" si="1"/>
        <v>0.99457221997198209</v>
      </c>
    </row>
    <row r="42" spans="1:10" s="51" customFormat="1" ht="24">
      <c r="A42" s="495" t="str">
        <f>Orçamento!A42</f>
        <v>3.7</v>
      </c>
      <c r="B42" s="496" t="str">
        <f>Orçamento!B42</f>
        <v>PINTURA COM TINTA EM PO INDUSTRIALIZADA A BASE DE CAL, DUAS DEMAOS</v>
      </c>
      <c r="C42" s="503" t="str">
        <f>Orçamento!C42</f>
        <v>m²</v>
      </c>
      <c r="D42" s="505">
        <f>Orçamento!D42</f>
        <v>212.16</v>
      </c>
      <c r="E42" s="501" t="str">
        <f>Orçamento!E42</f>
        <v xml:space="preserve">73791/001 </v>
      </c>
      <c r="F42" s="498">
        <f>Orçamento!F42</f>
        <v>4.74</v>
      </c>
      <c r="G42" s="502">
        <f>Orçamento!G42</f>
        <v>5.9250000000000007</v>
      </c>
      <c r="H42" s="502">
        <f>Orçamento!H42</f>
        <v>1257.05</v>
      </c>
      <c r="I42" s="68">
        <f t="shared" si="0"/>
        <v>5.0436810746906559E-3</v>
      </c>
      <c r="J42" s="68">
        <f t="shared" si="1"/>
        <v>0.99961590104667275</v>
      </c>
    </row>
    <row r="43" spans="1:10" s="51" customFormat="1" ht="12.75">
      <c r="A43" s="495"/>
      <c r="B43" s="506"/>
      <c r="C43" s="507"/>
      <c r="D43" s="508"/>
      <c r="E43" s="501"/>
      <c r="F43" s="498"/>
      <c r="G43" s="502"/>
      <c r="H43" s="502"/>
      <c r="I43" s="68"/>
      <c r="J43" s="68"/>
    </row>
    <row r="44" spans="1:10" s="22" customFormat="1" ht="15.75">
      <c r="A44" s="263"/>
      <c r="B44" s="264"/>
      <c r="C44" s="265"/>
      <c r="D44" s="266"/>
      <c r="E44" s="267"/>
      <c r="F44" s="268"/>
      <c r="G44" s="269"/>
      <c r="H44" s="270">
        <f>Orçamento!$H$95</f>
        <v>249232.64999999997</v>
      </c>
      <c r="I44" s="270"/>
      <c r="J44" s="270"/>
    </row>
    <row r="45" spans="1:10" s="342" customFormat="1" ht="15.75">
      <c r="A45" s="210"/>
      <c r="B45" s="211"/>
      <c r="C45" s="212"/>
      <c r="D45" s="213"/>
      <c r="E45" s="338"/>
      <c r="F45" s="339"/>
      <c r="G45" s="340"/>
      <c r="H45" s="341"/>
      <c r="I45" s="341"/>
      <c r="J45" s="341"/>
    </row>
    <row r="46" spans="1:10" ht="12">
      <c r="A46" s="66"/>
      <c r="B46" s="311" t="s">
        <v>272</v>
      </c>
      <c r="C46" s="71"/>
      <c r="D46" s="72"/>
      <c r="E46" s="73"/>
      <c r="F46" s="74"/>
      <c r="G46" s="75"/>
      <c r="H46" s="107"/>
    </row>
    <row r="47" spans="1:10" ht="12">
      <c r="A47" s="76"/>
      <c r="B47" s="77" t="s">
        <v>271</v>
      </c>
      <c r="C47" s="78"/>
      <c r="D47" s="79"/>
      <c r="E47" s="80"/>
      <c r="F47" s="81"/>
      <c r="G47" s="82"/>
      <c r="H47" s="82"/>
    </row>
    <row r="48" spans="1:10" ht="12">
      <c r="A48" s="76"/>
      <c r="B48" s="83"/>
      <c r="C48" s="78"/>
      <c r="D48" s="79"/>
      <c r="E48" s="80"/>
      <c r="F48" s="81"/>
      <c r="G48" s="82"/>
      <c r="H48" s="82"/>
    </row>
    <row r="49" spans="1:10" s="25" customFormat="1" ht="12.75">
      <c r="A49" s="84"/>
      <c r="B49" s="536" t="s">
        <v>576</v>
      </c>
      <c r="C49" s="84"/>
      <c r="D49" s="84"/>
      <c r="E49" s="85"/>
      <c r="F49" s="86"/>
      <c r="G49" s="86"/>
      <c r="H49" s="86"/>
      <c r="I49" s="67"/>
      <c r="J49" s="67"/>
    </row>
    <row r="50" spans="1:10" s="25" customFormat="1" ht="24.75" customHeight="1">
      <c r="A50" s="84"/>
      <c r="B50" s="536"/>
      <c r="C50" s="84"/>
      <c r="D50" s="84"/>
      <c r="E50" s="85"/>
      <c r="F50" s="86"/>
      <c r="G50" s="88"/>
      <c r="H50" s="88"/>
      <c r="I50" s="67"/>
      <c r="J50" s="67"/>
    </row>
    <row r="51" spans="1:10" s="25" customFormat="1" ht="12.75">
      <c r="A51" s="524"/>
      <c r="B51" s="524"/>
      <c r="C51" s="524"/>
      <c r="D51" s="524"/>
      <c r="E51" s="524"/>
      <c r="F51" s="524"/>
      <c r="G51" s="524"/>
      <c r="H51" s="524"/>
      <c r="I51" s="67"/>
      <c r="J51" s="67"/>
    </row>
    <row r="52" spans="1:10" s="25" customFormat="1" ht="12.75">
      <c r="A52" s="535"/>
      <c r="B52" s="535"/>
      <c r="C52" s="535"/>
      <c r="D52" s="535"/>
      <c r="E52" s="535"/>
      <c r="F52" s="535"/>
      <c r="G52" s="535"/>
      <c r="H52" s="535"/>
      <c r="I52" s="67"/>
      <c r="J52" s="67"/>
    </row>
    <row r="53" spans="1:10" s="25" customFormat="1" ht="12.75">
      <c r="B53" s="63"/>
      <c r="C53" s="63"/>
      <c r="D53" s="63"/>
      <c r="E53" s="64"/>
      <c r="F53" s="63"/>
      <c r="G53" s="63"/>
      <c r="H53" s="63"/>
      <c r="I53" s="67"/>
      <c r="J53" s="67"/>
    </row>
    <row r="54" spans="1:10" s="25" customFormat="1" ht="12.75">
      <c r="A54" s="26"/>
      <c r="B54" s="26"/>
      <c r="C54" s="26"/>
      <c r="D54" s="26"/>
      <c r="E54" s="65"/>
      <c r="F54" s="26"/>
      <c r="G54" s="26"/>
      <c r="H54" s="26"/>
      <c r="I54" s="67"/>
      <c r="J54" s="67"/>
    </row>
    <row r="55" spans="1:10" s="25" customFormat="1" ht="12.75">
      <c r="A55" s="26"/>
      <c r="B55" s="26" t="s">
        <v>488</v>
      </c>
      <c r="C55" s="26"/>
      <c r="D55" s="26"/>
      <c r="E55" s="26"/>
      <c r="F55" s="26"/>
      <c r="G55" s="26"/>
      <c r="H55" s="26"/>
      <c r="I55" s="67"/>
      <c r="J55" s="67"/>
    </row>
    <row r="56" spans="1:10" ht="12">
      <c r="A56" s="23"/>
      <c r="B56" s="27"/>
      <c r="C56" s="28"/>
      <c r="D56" s="29"/>
      <c r="E56" s="58"/>
      <c r="F56" s="46"/>
      <c r="G56" s="49"/>
      <c r="H56" s="49"/>
    </row>
  </sheetData>
  <autoFilter ref="A12:H42">
    <sortState ref="A13:H74">
      <sortCondition descending="1" ref="H13:H74"/>
    </sortState>
  </autoFilter>
  <sortState ref="A13:H68">
    <sortCondition descending="1" ref="A13:A68"/>
  </sortState>
  <mergeCells count="5">
    <mergeCell ref="A1:H1"/>
    <mergeCell ref="A2:H2"/>
    <mergeCell ref="A51:H51"/>
    <mergeCell ref="A52:H52"/>
    <mergeCell ref="B49:B50"/>
  </mergeCells>
  <printOptions horizontalCentered="1"/>
  <pageMargins left="0.39370078740157483" right="0.35433070866141736" top="0" bottom="0.11811023622047245" header="0.51181102362204722" footer="0.51181102362204722"/>
  <pageSetup paperSize="9" scale="66" fitToHeight="0" orientation="portrait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J52"/>
  <sheetViews>
    <sheetView view="pageBreakPreview" topLeftCell="A22" zoomScaleNormal="100" zoomScaleSheetLayoutView="100" workbookViewId="0">
      <selection activeCell="J10" sqref="J1:J1048576"/>
    </sheetView>
  </sheetViews>
  <sheetFormatPr defaultRowHeight="11.25"/>
  <cols>
    <col min="1" max="1" width="4.7109375" style="11" customWidth="1"/>
    <col min="2" max="2" width="52" style="1" customWidth="1"/>
    <col min="3" max="3" width="14.140625" style="31" customWidth="1"/>
    <col min="4" max="4" width="5.85546875" style="32" customWidth="1"/>
    <col min="5" max="5" width="12.7109375" style="32" customWidth="1"/>
    <col min="6" max="6" width="12.42578125" style="33" customWidth="1"/>
    <col min="7" max="7" width="13.140625" style="33" customWidth="1"/>
    <col min="8" max="9" width="10.85546875" style="33" hidden="1" customWidth="1"/>
    <col min="10" max="10" width="13.5703125" style="1" bestFit="1" customWidth="1"/>
    <col min="11" max="254" width="9.140625" style="1"/>
    <col min="255" max="255" width="4.7109375" style="1" customWidth="1"/>
    <col min="256" max="256" width="53.5703125" style="1" customWidth="1"/>
    <col min="257" max="257" width="14.140625" style="1" customWidth="1"/>
    <col min="258" max="258" width="5.85546875" style="1" customWidth="1"/>
    <col min="259" max="259" width="12.7109375" style="1" customWidth="1"/>
    <col min="260" max="264" width="10.85546875" style="1" customWidth="1"/>
    <col min="265" max="510" width="9.140625" style="1"/>
    <col min="511" max="511" width="4.7109375" style="1" customWidth="1"/>
    <col min="512" max="512" width="53.5703125" style="1" customWidth="1"/>
    <col min="513" max="513" width="14.140625" style="1" customWidth="1"/>
    <col min="514" max="514" width="5.85546875" style="1" customWidth="1"/>
    <col min="515" max="515" width="12.7109375" style="1" customWidth="1"/>
    <col min="516" max="520" width="10.85546875" style="1" customWidth="1"/>
    <col min="521" max="766" width="9.140625" style="1"/>
    <col min="767" max="767" width="4.7109375" style="1" customWidth="1"/>
    <col min="768" max="768" width="53.5703125" style="1" customWidth="1"/>
    <col min="769" max="769" width="14.140625" style="1" customWidth="1"/>
    <col min="770" max="770" width="5.85546875" style="1" customWidth="1"/>
    <col min="771" max="771" width="12.7109375" style="1" customWidth="1"/>
    <col min="772" max="776" width="10.85546875" style="1" customWidth="1"/>
    <col min="777" max="1022" width="9.140625" style="1"/>
    <col min="1023" max="1023" width="4.7109375" style="1" customWidth="1"/>
    <col min="1024" max="1024" width="53.5703125" style="1" customWidth="1"/>
    <col min="1025" max="1025" width="14.140625" style="1" customWidth="1"/>
    <col min="1026" max="1026" width="5.85546875" style="1" customWidth="1"/>
    <col min="1027" max="1027" width="12.7109375" style="1" customWidth="1"/>
    <col min="1028" max="1032" width="10.85546875" style="1" customWidth="1"/>
    <col min="1033" max="1278" width="9.140625" style="1"/>
    <col min="1279" max="1279" width="4.7109375" style="1" customWidth="1"/>
    <col min="1280" max="1280" width="53.5703125" style="1" customWidth="1"/>
    <col min="1281" max="1281" width="14.140625" style="1" customWidth="1"/>
    <col min="1282" max="1282" width="5.85546875" style="1" customWidth="1"/>
    <col min="1283" max="1283" width="12.7109375" style="1" customWidth="1"/>
    <col min="1284" max="1288" width="10.85546875" style="1" customWidth="1"/>
    <col min="1289" max="1534" width="9.140625" style="1"/>
    <col min="1535" max="1535" width="4.7109375" style="1" customWidth="1"/>
    <col min="1536" max="1536" width="53.5703125" style="1" customWidth="1"/>
    <col min="1537" max="1537" width="14.140625" style="1" customWidth="1"/>
    <col min="1538" max="1538" width="5.85546875" style="1" customWidth="1"/>
    <col min="1539" max="1539" width="12.7109375" style="1" customWidth="1"/>
    <col min="1540" max="1544" width="10.85546875" style="1" customWidth="1"/>
    <col min="1545" max="1790" width="9.140625" style="1"/>
    <col min="1791" max="1791" width="4.7109375" style="1" customWidth="1"/>
    <col min="1792" max="1792" width="53.5703125" style="1" customWidth="1"/>
    <col min="1793" max="1793" width="14.140625" style="1" customWidth="1"/>
    <col min="1794" max="1794" width="5.85546875" style="1" customWidth="1"/>
    <col min="1795" max="1795" width="12.7109375" style="1" customWidth="1"/>
    <col min="1796" max="1800" width="10.85546875" style="1" customWidth="1"/>
    <col min="1801" max="2046" width="9.140625" style="1"/>
    <col min="2047" max="2047" width="4.7109375" style="1" customWidth="1"/>
    <col min="2048" max="2048" width="53.5703125" style="1" customWidth="1"/>
    <col min="2049" max="2049" width="14.140625" style="1" customWidth="1"/>
    <col min="2050" max="2050" width="5.85546875" style="1" customWidth="1"/>
    <col min="2051" max="2051" width="12.7109375" style="1" customWidth="1"/>
    <col min="2052" max="2056" width="10.85546875" style="1" customWidth="1"/>
    <col min="2057" max="2302" width="9.140625" style="1"/>
    <col min="2303" max="2303" width="4.7109375" style="1" customWidth="1"/>
    <col min="2304" max="2304" width="53.5703125" style="1" customWidth="1"/>
    <col min="2305" max="2305" width="14.140625" style="1" customWidth="1"/>
    <col min="2306" max="2306" width="5.85546875" style="1" customWidth="1"/>
    <col min="2307" max="2307" width="12.7109375" style="1" customWidth="1"/>
    <col min="2308" max="2312" width="10.85546875" style="1" customWidth="1"/>
    <col min="2313" max="2558" width="9.140625" style="1"/>
    <col min="2559" max="2559" width="4.7109375" style="1" customWidth="1"/>
    <col min="2560" max="2560" width="53.5703125" style="1" customWidth="1"/>
    <col min="2561" max="2561" width="14.140625" style="1" customWidth="1"/>
    <col min="2562" max="2562" width="5.85546875" style="1" customWidth="1"/>
    <col min="2563" max="2563" width="12.7109375" style="1" customWidth="1"/>
    <col min="2564" max="2568" width="10.85546875" style="1" customWidth="1"/>
    <col min="2569" max="2814" width="9.140625" style="1"/>
    <col min="2815" max="2815" width="4.7109375" style="1" customWidth="1"/>
    <col min="2816" max="2816" width="53.5703125" style="1" customWidth="1"/>
    <col min="2817" max="2817" width="14.140625" style="1" customWidth="1"/>
    <col min="2818" max="2818" width="5.85546875" style="1" customWidth="1"/>
    <col min="2819" max="2819" width="12.7109375" style="1" customWidth="1"/>
    <col min="2820" max="2824" width="10.85546875" style="1" customWidth="1"/>
    <col min="2825" max="3070" width="9.140625" style="1"/>
    <col min="3071" max="3071" width="4.7109375" style="1" customWidth="1"/>
    <col min="3072" max="3072" width="53.5703125" style="1" customWidth="1"/>
    <col min="3073" max="3073" width="14.140625" style="1" customWidth="1"/>
    <col min="3074" max="3074" width="5.85546875" style="1" customWidth="1"/>
    <col min="3075" max="3075" width="12.7109375" style="1" customWidth="1"/>
    <col min="3076" max="3080" width="10.85546875" style="1" customWidth="1"/>
    <col min="3081" max="3326" width="9.140625" style="1"/>
    <col min="3327" max="3327" width="4.7109375" style="1" customWidth="1"/>
    <col min="3328" max="3328" width="53.5703125" style="1" customWidth="1"/>
    <col min="3329" max="3329" width="14.140625" style="1" customWidth="1"/>
    <col min="3330" max="3330" width="5.85546875" style="1" customWidth="1"/>
    <col min="3331" max="3331" width="12.7109375" style="1" customWidth="1"/>
    <col min="3332" max="3336" width="10.85546875" style="1" customWidth="1"/>
    <col min="3337" max="3582" width="9.140625" style="1"/>
    <col min="3583" max="3583" width="4.7109375" style="1" customWidth="1"/>
    <col min="3584" max="3584" width="53.5703125" style="1" customWidth="1"/>
    <col min="3585" max="3585" width="14.140625" style="1" customWidth="1"/>
    <col min="3586" max="3586" width="5.85546875" style="1" customWidth="1"/>
    <col min="3587" max="3587" width="12.7109375" style="1" customWidth="1"/>
    <col min="3588" max="3592" width="10.85546875" style="1" customWidth="1"/>
    <col min="3593" max="3838" width="9.140625" style="1"/>
    <col min="3839" max="3839" width="4.7109375" style="1" customWidth="1"/>
    <col min="3840" max="3840" width="53.5703125" style="1" customWidth="1"/>
    <col min="3841" max="3841" width="14.140625" style="1" customWidth="1"/>
    <col min="3842" max="3842" width="5.85546875" style="1" customWidth="1"/>
    <col min="3843" max="3843" width="12.7109375" style="1" customWidth="1"/>
    <col min="3844" max="3848" width="10.85546875" style="1" customWidth="1"/>
    <col min="3849" max="4094" width="9.140625" style="1"/>
    <col min="4095" max="4095" width="4.7109375" style="1" customWidth="1"/>
    <col min="4096" max="4096" width="53.5703125" style="1" customWidth="1"/>
    <col min="4097" max="4097" width="14.140625" style="1" customWidth="1"/>
    <col min="4098" max="4098" width="5.85546875" style="1" customWidth="1"/>
    <col min="4099" max="4099" width="12.7109375" style="1" customWidth="1"/>
    <col min="4100" max="4104" width="10.85546875" style="1" customWidth="1"/>
    <col min="4105" max="4350" width="9.140625" style="1"/>
    <col min="4351" max="4351" width="4.7109375" style="1" customWidth="1"/>
    <col min="4352" max="4352" width="53.5703125" style="1" customWidth="1"/>
    <col min="4353" max="4353" width="14.140625" style="1" customWidth="1"/>
    <col min="4354" max="4354" width="5.85546875" style="1" customWidth="1"/>
    <col min="4355" max="4355" width="12.7109375" style="1" customWidth="1"/>
    <col min="4356" max="4360" width="10.85546875" style="1" customWidth="1"/>
    <col min="4361" max="4606" width="9.140625" style="1"/>
    <col min="4607" max="4607" width="4.7109375" style="1" customWidth="1"/>
    <col min="4608" max="4608" width="53.5703125" style="1" customWidth="1"/>
    <col min="4609" max="4609" width="14.140625" style="1" customWidth="1"/>
    <col min="4610" max="4610" width="5.85546875" style="1" customWidth="1"/>
    <col min="4611" max="4611" width="12.7109375" style="1" customWidth="1"/>
    <col min="4612" max="4616" width="10.85546875" style="1" customWidth="1"/>
    <col min="4617" max="4862" width="9.140625" style="1"/>
    <col min="4863" max="4863" width="4.7109375" style="1" customWidth="1"/>
    <col min="4864" max="4864" width="53.5703125" style="1" customWidth="1"/>
    <col min="4865" max="4865" width="14.140625" style="1" customWidth="1"/>
    <col min="4866" max="4866" width="5.85546875" style="1" customWidth="1"/>
    <col min="4867" max="4867" width="12.7109375" style="1" customWidth="1"/>
    <col min="4868" max="4872" width="10.85546875" style="1" customWidth="1"/>
    <col min="4873" max="5118" width="9.140625" style="1"/>
    <col min="5119" max="5119" width="4.7109375" style="1" customWidth="1"/>
    <col min="5120" max="5120" width="53.5703125" style="1" customWidth="1"/>
    <col min="5121" max="5121" width="14.140625" style="1" customWidth="1"/>
    <col min="5122" max="5122" width="5.85546875" style="1" customWidth="1"/>
    <col min="5123" max="5123" width="12.7109375" style="1" customWidth="1"/>
    <col min="5124" max="5128" width="10.85546875" style="1" customWidth="1"/>
    <col min="5129" max="5374" width="9.140625" style="1"/>
    <col min="5375" max="5375" width="4.7109375" style="1" customWidth="1"/>
    <col min="5376" max="5376" width="53.5703125" style="1" customWidth="1"/>
    <col min="5377" max="5377" width="14.140625" style="1" customWidth="1"/>
    <col min="5378" max="5378" width="5.85546875" style="1" customWidth="1"/>
    <col min="5379" max="5379" width="12.7109375" style="1" customWidth="1"/>
    <col min="5380" max="5384" width="10.85546875" style="1" customWidth="1"/>
    <col min="5385" max="5630" width="9.140625" style="1"/>
    <col min="5631" max="5631" width="4.7109375" style="1" customWidth="1"/>
    <col min="5632" max="5632" width="53.5703125" style="1" customWidth="1"/>
    <col min="5633" max="5633" width="14.140625" style="1" customWidth="1"/>
    <col min="5634" max="5634" width="5.85546875" style="1" customWidth="1"/>
    <col min="5635" max="5635" width="12.7109375" style="1" customWidth="1"/>
    <col min="5636" max="5640" width="10.85546875" style="1" customWidth="1"/>
    <col min="5641" max="5886" width="9.140625" style="1"/>
    <col min="5887" max="5887" width="4.7109375" style="1" customWidth="1"/>
    <col min="5888" max="5888" width="53.5703125" style="1" customWidth="1"/>
    <col min="5889" max="5889" width="14.140625" style="1" customWidth="1"/>
    <col min="5890" max="5890" width="5.85546875" style="1" customWidth="1"/>
    <col min="5891" max="5891" width="12.7109375" style="1" customWidth="1"/>
    <col min="5892" max="5896" width="10.85546875" style="1" customWidth="1"/>
    <col min="5897" max="6142" width="9.140625" style="1"/>
    <col min="6143" max="6143" width="4.7109375" style="1" customWidth="1"/>
    <col min="6144" max="6144" width="53.5703125" style="1" customWidth="1"/>
    <col min="6145" max="6145" width="14.140625" style="1" customWidth="1"/>
    <col min="6146" max="6146" width="5.85546875" style="1" customWidth="1"/>
    <col min="6147" max="6147" width="12.7109375" style="1" customWidth="1"/>
    <col min="6148" max="6152" width="10.85546875" style="1" customWidth="1"/>
    <col min="6153" max="6398" width="9.140625" style="1"/>
    <col min="6399" max="6399" width="4.7109375" style="1" customWidth="1"/>
    <col min="6400" max="6400" width="53.5703125" style="1" customWidth="1"/>
    <col min="6401" max="6401" width="14.140625" style="1" customWidth="1"/>
    <col min="6402" max="6402" width="5.85546875" style="1" customWidth="1"/>
    <col min="6403" max="6403" width="12.7109375" style="1" customWidth="1"/>
    <col min="6404" max="6408" width="10.85546875" style="1" customWidth="1"/>
    <col min="6409" max="6654" width="9.140625" style="1"/>
    <col min="6655" max="6655" width="4.7109375" style="1" customWidth="1"/>
    <col min="6656" max="6656" width="53.5703125" style="1" customWidth="1"/>
    <col min="6657" max="6657" width="14.140625" style="1" customWidth="1"/>
    <col min="6658" max="6658" width="5.85546875" style="1" customWidth="1"/>
    <col min="6659" max="6659" width="12.7109375" style="1" customWidth="1"/>
    <col min="6660" max="6664" width="10.85546875" style="1" customWidth="1"/>
    <col min="6665" max="6910" width="9.140625" style="1"/>
    <col min="6911" max="6911" width="4.7109375" style="1" customWidth="1"/>
    <col min="6912" max="6912" width="53.5703125" style="1" customWidth="1"/>
    <col min="6913" max="6913" width="14.140625" style="1" customWidth="1"/>
    <col min="6914" max="6914" width="5.85546875" style="1" customWidth="1"/>
    <col min="6915" max="6915" width="12.7109375" style="1" customWidth="1"/>
    <col min="6916" max="6920" width="10.85546875" style="1" customWidth="1"/>
    <col min="6921" max="7166" width="9.140625" style="1"/>
    <col min="7167" max="7167" width="4.7109375" style="1" customWidth="1"/>
    <col min="7168" max="7168" width="53.5703125" style="1" customWidth="1"/>
    <col min="7169" max="7169" width="14.140625" style="1" customWidth="1"/>
    <col min="7170" max="7170" width="5.85546875" style="1" customWidth="1"/>
    <col min="7171" max="7171" width="12.7109375" style="1" customWidth="1"/>
    <col min="7172" max="7176" width="10.85546875" style="1" customWidth="1"/>
    <col min="7177" max="7422" width="9.140625" style="1"/>
    <col min="7423" max="7423" width="4.7109375" style="1" customWidth="1"/>
    <col min="7424" max="7424" width="53.5703125" style="1" customWidth="1"/>
    <col min="7425" max="7425" width="14.140625" style="1" customWidth="1"/>
    <col min="7426" max="7426" width="5.85546875" style="1" customWidth="1"/>
    <col min="7427" max="7427" width="12.7109375" style="1" customWidth="1"/>
    <col min="7428" max="7432" width="10.85546875" style="1" customWidth="1"/>
    <col min="7433" max="7678" width="9.140625" style="1"/>
    <col min="7679" max="7679" width="4.7109375" style="1" customWidth="1"/>
    <col min="7680" max="7680" width="53.5703125" style="1" customWidth="1"/>
    <col min="7681" max="7681" width="14.140625" style="1" customWidth="1"/>
    <col min="7682" max="7682" width="5.85546875" style="1" customWidth="1"/>
    <col min="7683" max="7683" width="12.7109375" style="1" customWidth="1"/>
    <col min="7684" max="7688" width="10.85546875" style="1" customWidth="1"/>
    <col min="7689" max="7934" width="9.140625" style="1"/>
    <col min="7935" max="7935" width="4.7109375" style="1" customWidth="1"/>
    <col min="7936" max="7936" width="53.5703125" style="1" customWidth="1"/>
    <col min="7937" max="7937" width="14.140625" style="1" customWidth="1"/>
    <col min="7938" max="7938" width="5.85546875" style="1" customWidth="1"/>
    <col min="7939" max="7939" width="12.7109375" style="1" customWidth="1"/>
    <col min="7940" max="7944" width="10.85546875" style="1" customWidth="1"/>
    <col min="7945" max="8190" width="9.140625" style="1"/>
    <col min="8191" max="8191" width="4.7109375" style="1" customWidth="1"/>
    <col min="8192" max="8192" width="53.5703125" style="1" customWidth="1"/>
    <col min="8193" max="8193" width="14.140625" style="1" customWidth="1"/>
    <col min="8194" max="8194" width="5.85546875" style="1" customWidth="1"/>
    <col min="8195" max="8195" width="12.7109375" style="1" customWidth="1"/>
    <col min="8196" max="8200" width="10.85546875" style="1" customWidth="1"/>
    <col min="8201" max="8446" width="9.140625" style="1"/>
    <col min="8447" max="8447" width="4.7109375" style="1" customWidth="1"/>
    <col min="8448" max="8448" width="53.5703125" style="1" customWidth="1"/>
    <col min="8449" max="8449" width="14.140625" style="1" customWidth="1"/>
    <col min="8450" max="8450" width="5.85546875" style="1" customWidth="1"/>
    <col min="8451" max="8451" width="12.7109375" style="1" customWidth="1"/>
    <col min="8452" max="8456" width="10.85546875" style="1" customWidth="1"/>
    <col min="8457" max="8702" width="9.140625" style="1"/>
    <col min="8703" max="8703" width="4.7109375" style="1" customWidth="1"/>
    <col min="8704" max="8704" width="53.5703125" style="1" customWidth="1"/>
    <col min="8705" max="8705" width="14.140625" style="1" customWidth="1"/>
    <col min="8706" max="8706" width="5.85546875" style="1" customWidth="1"/>
    <col min="8707" max="8707" width="12.7109375" style="1" customWidth="1"/>
    <col min="8708" max="8712" width="10.85546875" style="1" customWidth="1"/>
    <col min="8713" max="8958" width="9.140625" style="1"/>
    <col min="8959" max="8959" width="4.7109375" style="1" customWidth="1"/>
    <col min="8960" max="8960" width="53.5703125" style="1" customWidth="1"/>
    <col min="8961" max="8961" width="14.140625" style="1" customWidth="1"/>
    <col min="8962" max="8962" width="5.85546875" style="1" customWidth="1"/>
    <col min="8963" max="8963" width="12.7109375" style="1" customWidth="1"/>
    <col min="8964" max="8968" width="10.85546875" style="1" customWidth="1"/>
    <col min="8969" max="9214" width="9.140625" style="1"/>
    <col min="9215" max="9215" width="4.7109375" style="1" customWidth="1"/>
    <col min="9216" max="9216" width="53.5703125" style="1" customWidth="1"/>
    <col min="9217" max="9217" width="14.140625" style="1" customWidth="1"/>
    <col min="9218" max="9218" width="5.85546875" style="1" customWidth="1"/>
    <col min="9219" max="9219" width="12.7109375" style="1" customWidth="1"/>
    <col min="9220" max="9224" width="10.85546875" style="1" customWidth="1"/>
    <col min="9225" max="9470" width="9.140625" style="1"/>
    <col min="9471" max="9471" width="4.7109375" style="1" customWidth="1"/>
    <col min="9472" max="9472" width="53.5703125" style="1" customWidth="1"/>
    <col min="9473" max="9473" width="14.140625" style="1" customWidth="1"/>
    <col min="9474" max="9474" width="5.85546875" style="1" customWidth="1"/>
    <col min="9475" max="9475" width="12.7109375" style="1" customWidth="1"/>
    <col min="9476" max="9480" width="10.85546875" style="1" customWidth="1"/>
    <col min="9481" max="9726" width="9.140625" style="1"/>
    <col min="9727" max="9727" width="4.7109375" style="1" customWidth="1"/>
    <col min="9728" max="9728" width="53.5703125" style="1" customWidth="1"/>
    <col min="9729" max="9729" width="14.140625" style="1" customWidth="1"/>
    <col min="9730" max="9730" width="5.85546875" style="1" customWidth="1"/>
    <col min="9731" max="9731" width="12.7109375" style="1" customWidth="1"/>
    <col min="9732" max="9736" width="10.85546875" style="1" customWidth="1"/>
    <col min="9737" max="9982" width="9.140625" style="1"/>
    <col min="9983" max="9983" width="4.7109375" style="1" customWidth="1"/>
    <col min="9984" max="9984" width="53.5703125" style="1" customWidth="1"/>
    <col min="9985" max="9985" width="14.140625" style="1" customWidth="1"/>
    <col min="9986" max="9986" width="5.85546875" style="1" customWidth="1"/>
    <col min="9987" max="9987" width="12.7109375" style="1" customWidth="1"/>
    <col min="9988" max="9992" width="10.85546875" style="1" customWidth="1"/>
    <col min="9993" max="10238" width="9.140625" style="1"/>
    <col min="10239" max="10239" width="4.7109375" style="1" customWidth="1"/>
    <col min="10240" max="10240" width="53.5703125" style="1" customWidth="1"/>
    <col min="10241" max="10241" width="14.140625" style="1" customWidth="1"/>
    <col min="10242" max="10242" width="5.85546875" style="1" customWidth="1"/>
    <col min="10243" max="10243" width="12.7109375" style="1" customWidth="1"/>
    <col min="10244" max="10248" width="10.85546875" style="1" customWidth="1"/>
    <col min="10249" max="10494" width="9.140625" style="1"/>
    <col min="10495" max="10495" width="4.7109375" style="1" customWidth="1"/>
    <col min="10496" max="10496" width="53.5703125" style="1" customWidth="1"/>
    <col min="10497" max="10497" width="14.140625" style="1" customWidth="1"/>
    <col min="10498" max="10498" width="5.85546875" style="1" customWidth="1"/>
    <col min="10499" max="10499" width="12.7109375" style="1" customWidth="1"/>
    <col min="10500" max="10504" width="10.85546875" style="1" customWidth="1"/>
    <col min="10505" max="10750" width="9.140625" style="1"/>
    <col min="10751" max="10751" width="4.7109375" style="1" customWidth="1"/>
    <col min="10752" max="10752" width="53.5703125" style="1" customWidth="1"/>
    <col min="10753" max="10753" width="14.140625" style="1" customWidth="1"/>
    <col min="10754" max="10754" width="5.85546875" style="1" customWidth="1"/>
    <col min="10755" max="10755" width="12.7109375" style="1" customWidth="1"/>
    <col min="10756" max="10760" width="10.85546875" style="1" customWidth="1"/>
    <col min="10761" max="11006" width="9.140625" style="1"/>
    <col min="11007" max="11007" width="4.7109375" style="1" customWidth="1"/>
    <col min="11008" max="11008" width="53.5703125" style="1" customWidth="1"/>
    <col min="11009" max="11009" width="14.140625" style="1" customWidth="1"/>
    <col min="11010" max="11010" width="5.85546875" style="1" customWidth="1"/>
    <col min="11011" max="11011" width="12.7109375" style="1" customWidth="1"/>
    <col min="11012" max="11016" width="10.85546875" style="1" customWidth="1"/>
    <col min="11017" max="11262" width="9.140625" style="1"/>
    <col min="11263" max="11263" width="4.7109375" style="1" customWidth="1"/>
    <col min="11264" max="11264" width="53.5703125" style="1" customWidth="1"/>
    <col min="11265" max="11265" width="14.140625" style="1" customWidth="1"/>
    <col min="11266" max="11266" width="5.85546875" style="1" customWidth="1"/>
    <col min="11267" max="11267" width="12.7109375" style="1" customWidth="1"/>
    <col min="11268" max="11272" width="10.85546875" style="1" customWidth="1"/>
    <col min="11273" max="11518" width="9.140625" style="1"/>
    <col min="11519" max="11519" width="4.7109375" style="1" customWidth="1"/>
    <col min="11520" max="11520" width="53.5703125" style="1" customWidth="1"/>
    <col min="11521" max="11521" width="14.140625" style="1" customWidth="1"/>
    <col min="11522" max="11522" width="5.85546875" style="1" customWidth="1"/>
    <col min="11523" max="11523" width="12.7109375" style="1" customWidth="1"/>
    <col min="11524" max="11528" width="10.85546875" style="1" customWidth="1"/>
    <col min="11529" max="11774" width="9.140625" style="1"/>
    <col min="11775" max="11775" width="4.7109375" style="1" customWidth="1"/>
    <col min="11776" max="11776" width="53.5703125" style="1" customWidth="1"/>
    <col min="11777" max="11777" width="14.140625" style="1" customWidth="1"/>
    <col min="11778" max="11778" width="5.85546875" style="1" customWidth="1"/>
    <col min="11779" max="11779" width="12.7109375" style="1" customWidth="1"/>
    <col min="11780" max="11784" width="10.85546875" style="1" customWidth="1"/>
    <col min="11785" max="12030" width="9.140625" style="1"/>
    <col min="12031" max="12031" width="4.7109375" style="1" customWidth="1"/>
    <col min="12032" max="12032" width="53.5703125" style="1" customWidth="1"/>
    <col min="12033" max="12033" width="14.140625" style="1" customWidth="1"/>
    <col min="12034" max="12034" width="5.85546875" style="1" customWidth="1"/>
    <col min="12035" max="12035" width="12.7109375" style="1" customWidth="1"/>
    <col min="12036" max="12040" width="10.85546875" style="1" customWidth="1"/>
    <col min="12041" max="12286" width="9.140625" style="1"/>
    <col min="12287" max="12287" width="4.7109375" style="1" customWidth="1"/>
    <col min="12288" max="12288" width="53.5703125" style="1" customWidth="1"/>
    <col min="12289" max="12289" width="14.140625" style="1" customWidth="1"/>
    <col min="12290" max="12290" width="5.85546875" style="1" customWidth="1"/>
    <col min="12291" max="12291" width="12.7109375" style="1" customWidth="1"/>
    <col min="12292" max="12296" width="10.85546875" style="1" customWidth="1"/>
    <col min="12297" max="12542" width="9.140625" style="1"/>
    <col min="12543" max="12543" width="4.7109375" style="1" customWidth="1"/>
    <col min="12544" max="12544" width="53.5703125" style="1" customWidth="1"/>
    <col min="12545" max="12545" width="14.140625" style="1" customWidth="1"/>
    <col min="12546" max="12546" width="5.85546875" style="1" customWidth="1"/>
    <col min="12547" max="12547" width="12.7109375" style="1" customWidth="1"/>
    <col min="12548" max="12552" width="10.85546875" style="1" customWidth="1"/>
    <col min="12553" max="12798" width="9.140625" style="1"/>
    <col min="12799" max="12799" width="4.7109375" style="1" customWidth="1"/>
    <col min="12800" max="12800" width="53.5703125" style="1" customWidth="1"/>
    <col min="12801" max="12801" width="14.140625" style="1" customWidth="1"/>
    <col min="12802" max="12802" width="5.85546875" style="1" customWidth="1"/>
    <col min="12803" max="12803" width="12.7109375" style="1" customWidth="1"/>
    <col min="12804" max="12808" width="10.85546875" style="1" customWidth="1"/>
    <col min="12809" max="13054" width="9.140625" style="1"/>
    <col min="13055" max="13055" width="4.7109375" style="1" customWidth="1"/>
    <col min="13056" max="13056" width="53.5703125" style="1" customWidth="1"/>
    <col min="13057" max="13057" width="14.140625" style="1" customWidth="1"/>
    <col min="13058" max="13058" width="5.85546875" style="1" customWidth="1"/>
    <col min="13059" max="13059" width="12.7109375" style="1" customWidth="1"/>
    <col min="13060" max="13064" width="10.85546875" style="1" customWidth="1"/>
    <col min="13065" max="13310" width="9.140625" style="1"/>
    <col min="13311" max="13311" width="4.7109375" style="1" customWidth="1"/>
    <col min="13312" max="13312" width="53.5703125" style="1" customWidth="1"/>
    <col min="13313" max="13313" width="14.140625" style="1" customWidth="1"/>
    <col min="13314" max="13314" width="5.85546875" style="1" customWidth="1"/>
    <col min="13315" max="13315" width="12.7109375" style="1" customWidth="1"/>
    <col min="13316" max="13320" width="10.85546875" style="1" customWidth="1"/>
    <col min="13321" max="13566" width="9.140625" style="1"/>
    <col min="13567" max="13567" width="4.7109375" style="1" customWidth="1"/>
    <col min="13568" max="13568" width="53.5703125" style="1" customWidth="1"/>
    <col min="13569" max="13569" width="14.140625" style="1" customWidth="1"/>
    <col min="13570" max="13570" width="5.85546875" style="1" customWidth="1"/>
    <col min="13571" max="13571" width="12.7109375" style="1" customWidth="1"/>
    <col min="13572" max="13576" width="10.85546875" style="1" customWidth="1"/>
    <col min="13577" max="13822" width="9.140625" style="1"/>
    <col min="13823" max="13823" width="4.7109375" style="1" customWidth="1"/>
    <col min="13824" max="13824" width="53.5703125" style="1" customWidth="1"/>
    <col min="13825" max="13825" width="14.140625" style="1" customWidth="1"/>
    <col min="13826" max="13826" width="5.85546875" style="1" customWidth="1"/>
    <col min="13827" max="13827" width="12.7109375" style="1" customWidth="1"/>
    <col min="13828" max="13832" width="10.85546875" style="1" customWidth="1"/>
    <col min="13833" max="14078" width="9.140625" style="1"/>
    <col min="14079" max="14079" width="4.7109375" style="1" customWidth="1"/>
    <col min="14080" max="14080" width="53.5703125" style="1" customWidth="1"/>
    <col min="14081" max="14081" width="14.140625" style="1" customWidth="1"/>
    <col min="14082" max="14082" width="5.85546875" style="1" customWidth="1"/>
    <col min="14083" max="14083" width="12.7109375" style="1" customWidth="1"/>
    <col min="14084" max="14088" width="10.85546875" style="1" customWidth="1"/>
    <col min="14089" max="14334" width="9.140625" style="1"/>
    <col min="14335" max="14335" width="4.7109375" style="1" customWidth="1"/>
    <col min="14336" max="14336" width="53.5703125" style="1" customWidth="1"/>
    <col min="14337" max="14337" width="14.140625" style="1" customWidth="1"/>
    <col min="14338" max="14338" width="5.85546875" style="1" customWidth="1"/>
    <col min="14339" max="14339" width="12.7109375" style="1" customWidth="1"/>
    <col min="14340" max="14344" width="10.85546875" style="1" customWidth="1"/>
    <col min="14345" max="14590" width="9.140625" style="1"/>
    <col min="14591" max="14591" width="4.7109375" style="1" customWidth="1"/>
    <col min="14592" max="14592" width="53.5703125" style="1" customWidth="1"/>
    <col min="14593" max="14593" width="14.140625" style="1" customWidth="1"/>
    <col min="14594" max="14594" width="5.85546875" style="1" customWidth="1"/>
    <col min="14595" max="14595" width="12.7109375" style="1" customWidth="1"/>
    <col min="14596" max="14600" width="10.85546875" style="1" customWidth="1"/>
    <col min="14601" max="14846" width="9.140625" style="1"/>
    <col min="14847" max="14847" width="4.7109375" style="1" customWidth="1"/>
    <col min="14848" max="14848" width="53.5703125" style="1" customWidth="1"/>
    <col min="14849" max="14849" width="14.140625" style="1" customWidth="1"/>
    <col min="14850" max="14850" width="5.85546875" style="1" customWidth="1"/>
    <col min="14851" max="14851" width="12.7109375" style="1" customWidth="1"/>
    <col min="14852" max="14856" width="10.85546875" style="1" customWidth="1"/>
    <col min="14857" max="15102" width="9.140625" style="1"/>
    <col min="15103" max="15103" width="4.7109375" style="1" customWidth="1"/>
    <col min="15104" max="15104" width="53.5703125" style="1" customWidth="1"/>
    <col min="15105" max="15105" width="14.140625" style="1" customWidth="1"/>
    <col min="15106" max="15106" width="5.85546875" style="1" customWidth="1"/>
    <col min="15107" max="15107" width="12.7109375" style="1" customWidth="1"/>
    <col min="15108" max="15112" width="10.85546875" style="1" customWidth="1"/>
    <col min="15113" max="15358" width="9.140625" style="1"/>
    <col min="15359" max="15359" width="4.7109375" style="1" customWidth="1"/>
    <col min="15360" max="15360" width="53.5703125" style="1" customWidth="1"/>
    <col min="15361" max="15361" width="14.140625" style="1" customWidth="1"/>
    <col min="15362" max="15362" width="5.85546875" style="1" customWidth="1"/>
    <col min="15363" max="15363" width="12.7109375" style="1" customWidth="1"/>
    <col min="15364" max="15368" width="10.85546875" style="1" customWidth="1"/>
    <col min="15369" max="15614" width="9.140625" style="1"/>
    <col min="15615" max="15615" width="4.7109375" style="1" customWidth="1"/>
    <col min="15616" max="15616" width="53.5703125" style="1" customWidth="1"/>
    <col min="15617" max="15617" width="14.140625" style="1" customWidth="1"/>
    <col min="15618" max="15618" width="5.85546875" style="1" customWidth="1"/>
    <col min="15619" max="15619" width="12.7109375" style="1" customWidth="1"/>
    <col min="15620" max="15624" width="10.85546875" style="1" customWidth="1"/>
    <col min="15625" max="15870" width="9.140625" style="1"/>
    <col min="15871" max="15871" width="4.7109375" style="1" customWidth="1"/>
    <col min="15872" max="15872" width="53.5703125" style="1" customWidth="1"/>
    <col min="15873" max="15873" width="14.140625" style="1" customWidth="1"/>
    <col min="15874" max="15874" width="5.85546875" style="1" customWidth="1"/>
    <col min="15875" max="15875" width="12.7109375" style="1" customWidth="1"/>
    <col min="15876" max="15880" width="10.85546875" style="1" customWidth="1"/>
    <col min="15881" max="16126" width="9.140625" style="1"/>
    <col min="16127" max="16127" width="4.7109375" style="1" customWidth="1"/>
    <col min="16128" max="16128" width="53.5703125" style="1" customWidth="1"/>
    <col min="16129" max="16129" width="14.140625" style="1" customWidth="1"/>
    <col min="16130" max="16130" width="5.85546875" style="1" customWidth="1"/>
    <col min="16131" max="16131" width="12.7109375" style="1" customWidth="1"/>
    <col min="16132" max="16136" width="10.85546875" style="1" customWidth="1"/>
    <col min="16137" max="16384" width="9.140625" style="1"/>
  </cols>
  <sheetData>
    <row r="1" spans="1:9" ht="6" customHeight="1">
      <c r="A1" s="533"/>
      <c r="B1" s="533"/>
      <c r="C1" s="533"/>
      <c r="D1" s="533"/>
      <c r="E1" s="533"/>
      <c r="F1" s="533"/>
      <c r="G1" s="533"/>
      <c r="H1" s="533"/>
      <c r="I1" s="533"/>
    </row>
    <row r="2" spans="1:9" ht="15.75" customHeight="1">
      <c r="A2" s="534" t="s">
        <v>41</v>
      </c>
      <c r="B2" s="534"/>
      <c r="C2" s="534"/>
      <c r="D2" s="534"/>
      <c r="E2" s="534"/>
      <c r="F2" s="534"/>
      <c r="G2" s="534"/>
      <c r="H2" s="534"/>
      <c r="I2" s="534"/>
    </row>
    <row r="3" spans="1:9" ht="12.75">
      <c r="A3" s="92"/>
      <c r="B3" s="3" t="s">
        <v>86</v>
      </c>
      <c r="C3" s="93"/>
      <c r="D3" s="94"/>
      <c r="E3" s="53"/>
      <c r="F3" s="2"/>
      <c r="G3" s="2"/>
      <c r="H3" s="2"/>
      <c r="I3" s="2"/>
    </row>
    <row r="4" spans="1:9" ht="12.75">
      <c r="A4" s="92"/>
      <c r="B4" s="4" t="s">
        <v>0</v>
      </c>
      <c r="C4" s="5"/>
      <c r="D4" s="95"/>
      <c r="E4" s="54"/>
      <c r="F4" s="537"/>
      <c r="G4" s="537"/>
      <c r="H4" s="537"/>
      <c r="I4" s="537"/>
    </row>
    <row r="5" spans="1:9" ht="12.75">
      <c r="A5" s="6"/>
      <c r="B5" s="4" t="s">
        <v>112</v>
      </c>
      <c r="C5" s="5"/>
      <c r="D5" s="96"/>
      <c r="E5" s="55"/>
      <c r="F5" s="5"/>
      <c r="G5" s="5"/>
      <c r="H5" s="5"/>
      <c r="I5" s="5"/>
    </row>
    <row r="6" spans="1:9" ht="12.75">
      <c r="A6" s="92"/>
      <c r="B6" s="70" t="s">
        <v>281</v>
      </c>
      <c r="C6" s="5"/>
      <c r="D6" s="96"/>
      <c r="E6" s="55"/>
      <c r="F6" s="5"/>
      <c r="G6" s="5"/>
      <c r="H6" s="5"/>
      <c r="I6" s="5"/>
    </row>
    <row r="7" spans="1:9" ht="12.75">
      <c r="A7" s="92"/>
      <c r="B7" s="4" t="s">
        <v>172</v>
      </c>
      <c r="C7" s="7"/>
      <c r="D7" s="96"/>
      <c r="E7" s="55"/>
      <c r="F7" s="5"/>
      <c r="G7" s="5"/>
      <c r="H7" s="5"/>
      <c r="I7" s="5"/>
    </row>
    <row r="8" spans="1:9" ht="12.75">
      <c r="A8" s="92"/>
      <c r="B8" s="4" t="s">
        <v>87</v>
      </c>
      <c r="C8" s="5"/>
      <c r="D8" s="96"/>
      <c r="E8" s="55"/>
      <c r="F8" s="5"/>
      <c r="G8" s="5"/>
      <c r="H8" s="5"/>
      <c r="I8" s="5"/>
    </row>
    <row r="9" spans="1:9" ht="12.75" customHeight="1">
      <c r="A9" s="8"/>
      <c r="B9" s="412" t="s">
        <v>111</v>
      </c>
      <c r="C9" s="9" t="s">
        <v>1</v>
      </c>
      <c r="D9" s="10">
        <v>0.25</v>
      </c>
      <c r="E9" s="56"/>
      <c r="F9" s="8"/>
      <c r="G9" s="8"/>
      <c r="H9" s="8"/>
      <c r="I9" s="8"/>
    </row>
    <row r="10" spans="1:9" ht="7.5" customHeight="1">
      <c r="B10" s="69"/>
      <c r="C10" s="12"/>
      <c r="D10" s="12"/>
      <c r="E10" s="57"/>
      <c r="F10" s="13"/>
      <c r="G10" s="13"/>
      <c r="H10" s="13"/>
      <c r="I10" s="13"/>
    </row>
    <row r="11" spans="1:9" s="15" customFormat="1" ht="12.75">
      <c r="A11" s="233" t="s">
        <v>2</v>
      </c>
      <c r="B11" s="233" t="s">
        <v>42</v>
      </c>
      <c r="C11" s="233" t="s">
        <v>43</v>
      </c>
      <c r="D11" s="234" t="s">
        <v>44</v>
      </c>
      <c r="E11" s="234" t="s">
        <v>45</v>
      </c>
      <c r="F11" s="234" t="s">
        <v>46</v>
      </c>
      <c r="G11" s="234" t="s">
        <v>47</v>
      </c>
      <c r="H11" s="14" t="s">
        <v>48</v>
      </c>
      <c r="I11" s="14" t="s">
        <v>49</v>
      </c>
    </row>
    <row r="12" spans="1:9" s="17" customFormat="1" ht="5.25" customHeight="1">
      <c r="A12" s="98"/>
      <c r="B12" s="99"/>
      <c r="C12" s="99"/>
      <c r="D12" s="238"/>
      <c r="E12" s="197"/>
      <c r="F12" s="100"/>
      <c r="G12" s="100"/>
      <c r="H12" s="16"/>
      <c r="I12" s="16"/>
    </row>
    <row r="13" spans="1:9" s="19" customFormat="1" ht="11.25" customHeight="1">
      <c r="A13" s="277" t="s">
        <v>9</v>
      </c>
      <c r="B13" s="278" t="str">
        <f>Orçamento!B14</f>
        <v>SERVIÇOS INICIAIS</v>
      </c>
      <c r="C13" s="281">
        <f>Orçamento!$H$14</f>
        <v>8037.69</v>
      </c>
      <c r="D13" s="282">
        <f>C13/$C$34</f>
        <v>3.2249747374591575E-2</v>
      </c>
      <c r="E13" s="272">
        <f>C13</f>
        <v>8037.69</v>
      </c>
      <c r="F13" s="273"/>
      <c r="G13" s="273"/>
      <c r="H13" s="237"/>
      <c r="I13" s="18"/>
    </row>
    <row r="14" spans="1:9" s="40" customFormat="1" ht="11.25" customHeight="1">
      <c r="A14" s="101"/>
      <c r="B14" s="102"/>
      <c r="C14" s="103"/>
      <c r="D14" s="239"/>
      <c r="E14" s="279">
        <f>E13/C13</f>
        <v>1</v>
      </c>
      <c r="F14" s="104"/>
      <c r="G14" s="104"/>
      <c r="H14" s="105"/>
      <c r="I14" s="105"/>
    </row>
    <row r="15" spans="1:9" s="19" customFormat="1" ht="10.5" customHeight="1">
      <c r="A15" s="277" t="s">
        <v>15</v>
      </c>
      <c r="B15" s="278" t="str">
        <f>Orçamento!B20</f>
        <v>ENTRADAS/ACESSOS/MURO/ ALAMBRADO</v>
      </c>
      <c r="C15" s="281">
        <f>Orçamento!$H$20</f>
        <v>143367.61999999997</v>
      </c>
      <c r="D15" s="282">
        <f>C15/$C$34</f>
        <v>0.5752361097151597</v>
      </c>
      <c r="E15" s="272">
        <f>C15*30%</f>
        <v>43010.285999999986</v>
      </c>
      <c r="F15" s="273">
        <f>C15*30%</f>
        <v>43010.285999999986</v>
      </c>
      <c r="G15" s="273">
        <f>C15*40%</f>
        <v>57347.047999999988</v>
      </c>
      <c r="H15" s="240"/>
      <c r="I15" s="20"/>
    </row>
    <row r="16" spans="1:9" s="17" customFormat="1" ht="12" customHeight="1">
      <c r="A16" s="136"/>
      <c r="B16" s="137"/>
      <c r="C16" s="137"/>
      <c r="D16" s="241"/>
      <c r="E16" s="279">
        <f>E15/C15</f>
        <v>0.3</v>
      </c>
      <c r="F16" s="280">
        <f>F15/C15</f>
        <v>0.3</v>
      </c>
      <c r="G16" s="280">
        <f>G15/C15</f>
        <v>0.4</v>
      </c>
      <c r="H16" s="100"/>
      <c r="I16" s="100"/>
    </row>
    <row r="17" spans="1:9" s="521" customFormat="1" ht="12" customHeight="1">
      <c r="A17" s="277" t="s">
        <v>19</v>
      </c>
      <c r="B17" s="278" t="str">
        <f>Orçamento!B35</f>
        <v>CONSTRUÇÃO DE ARQUIBANCADA</v>
      </c>
      <c r="C17" s="281">
        <f>Orçamento!$H$35</f>
        <v>12166.25</v>
      </c>
      <c r="D17" s="282">
        <f>C17/$C$34</f>
        <v>4.8814832246096174E-2</v>
      </c>
      <c r="E17" s="272">
        <f>C17*20%</f>
        <v>2433.25</v>
      </c>
      <c r="F17" s="273">
        <f>C17*30%</f>
        <v>3649.875</v>
      </c>
      <c r="G17" s="273">
        <f>C17*50%</f>
        <v>6083.125</v>
      </c>
      <c r="H17" s="100"/>
      <c r="I17" s="100"/>
    </row>
    <row r="18" spans="1:9" s="521" customFormat="1" ht="12" customHeight="1">
      <c r="A18" s="137"/>
      <c r="B18" s="199"/>
      <c r="C18" s="199"/>
      <c r="D18" s="241"/>
      <c r="E18" s="279">
        <f>E17/C17</f>
        <v>0.2</v>
      </c>
      <c r="F18" s="280">
        <f>F17/C17</f>
        <v>0.3</v>
      </c>
      <c r="G18" s="280">
        <f>G17/C17</f>
        <v>0.5</v>
      </c>
      <c r="H18" s="100"/>
      <c r="I18" s="100"/>
    </row>
    <row r="19" spans="1:9" s="521" customFormat="1" ht="12" customHeight="1">
      <c r="A19" s="277" t="s">
        <v>26</v>
      </c>
      <c r="B19" s="278" t="str">
        <f>Orçamento!$B$44</f>
        <v>CONSTRUÇÃO DO BANCO DE RESERVA (2X)</v>
      </c>
      <c r="C19" s="281">
        <f>Orçamento!$H$44</f>
        <v>2103.83</v>
      </c>
      <c r="D19" s="282">
        <f>C19/$C$34</f>
        <v>8.441229509857557E-3</v>
      </c>
      <c r="E19" s="272">
        <f>C19*50%</f>
        <v>1051.915</v>
      </c>
      <c r="F19" s="273">
        <f>C19*50%</f>
        <v>1051.915</v>
      </c>
      <c r="G19" s="273"/>
      <c r="H19" s="100"/>
      <c r="I19" s="100"/>
    </row>
    <row r="20" spans="1:9" s="521" customFormat="1" ht="12" customHeight="1">
      <c r="A20" s="137"/>
      <c r="B20" s="137"/>
      <c r="C20" s="137"/>
      <c r="D20" s="241"/>
      <c r="E20" s="279">
        <f>E19/C19</f>
        <v>0.5</v>
      </c>
      <c r="F20" s="280">
        <f>F19/C19</f>
        <v>0.5</v>
      </c>
      <c r="G20" s="242"/>
      <c r="H20" s="100"/>
      <c r="I20" s="100"/>
    </row>
    <row r="21" spans="1:9" s="19" customFormat="1" ht="12" customHeight="1">
      <c r="A21" s="277" t="s">
        <v>28</v>
      </c>
      <c r="B21" s="278" t="str">
        <f>Orçamento!B51</f>
        <v xml:space="preserve">CONSTRUÇÃO DO CAMPO </v>
      </c>
      <c r="C21" s="281">
        <f>Orçamento!H51</f>
        <v>66445.45</v>
      </c>
      <c r="D21" s="282">
        <f>C21/$C$34</f>
        <v>0.26660010235416592</v>
      </c>
      <c r="E21" s="272"/>
      <c r="F21" s="273">
        <f>C21*40%</f>
        <v>26578.18</v>
      </c>
      <c r="G21" s="273">
        <f>C21*60%</f>
        <v>39867.269999999997</v>
      </c>
      <c r="H21" s="240"/>
      <c r="I21" s="20"/>
    </row>
    <row r="22" spans="1:9" s="17" customFormat="1" ht="12.75">
      <c r="A22" s="198"/>
      <c r="B22" s="199"/>
      <c r="C22" s="199"/>
      <c r="D22" s="241"/>
      <c r="E22" s="261"/>
      <c r="F22" s="280">
        <f>F21/C21</f>
        <v>0.4</v>
      </c>
      <c r="G22" s="280">
        <f>G21/C21</f>
        <v>0.6</v>
      </c>
      <c r="H22" s="16"/>
      <c r="I22" s="16"/>
    </row>
    <row r="23" spans="1:9" s="19" customFormat="1" ht="11.25" customHeight="1">
      <c r="A23" s="277" t="s">
        <v>35</v>
      </c>
      <c r="B23" s="278" t="str">
        <f>Orçamento!$B$68</f>
        <v>REDE DE IRRIGAÇÃO DO CAMPO</v>
      </c>
      <c r="C23" s="281">
        <f>Orçamento!H68</f>
        <v>2526.9500000000003</v>
      </c>
      <c r="D23" s="282">
        <f>C23/$C$34</f>
        <v>1.0138920402282769E-2</v>
      </c>
      <c r="E23" s="272"/>
      <c r="F23" s="273">
        <f>C23*100%</f>
        <v>2526.9500000000003</v>
      </c>
      <c r="G23" s="273"/>
      <c r="H23" s="240"/>
      <c r="I23" s="20"/>
    </row>
    <row r="24" spans="1:9" s="17" customFormat="1" ht="12.75">
      <c r="A24" s="198"/>
      <c r="B24" s="199"/>
      <c r="C24" s="199"/>
      <c r="D24" s="243"/>
      <c r="E24" s="200"/>
      <c r="F24" s="280">
        <f>F23/C23</f>
        <v>1</v>
      </c>
      <c r="G24" s="242"/>
      <c r="H24" s="16"/>
      <c r="I24" s="16"/>
    </row>
    <row r="25" spans="1:9" s="521" customFormat="1" ht="12.75">
      <c r="A25" s="277" t="s">
        <v>37</v>
      </c>
      <c r="B25" s="278" t="str">
        <f>Orçamento!$B$80</f>
        <v>ÁREA DE VOLEY DE AREIA</v>
      </c>
      <c r="C25" s="281">
        <f>Orçamento!$H$80</f>
        <v>2463.2800000000002</v>
      </c>
      <c r="D25" s="282">
        <f>C25/$C$34</f>
        <v>9.8834562807080077E-3</v>
      </c>
      <c r="E25" s="272"/>
      <c r="F25" s="273">
        <f>C25*100%</f>
        <v>2463.2800000000002</v>
      </c>
      <c r="G25" s="273"/>
      <c r="H25" s="100"/>
      <c r="I25" s="100"/>
    </row>
    <row r="26" spans="1:9" s="521" customFormat="1" ht="12.75">
      <c r="A26" s="137"/>
      <c r="B26" s="199"/>
      <c r="C26" s="199"/>
      <c r="D26" s="243"/>
      <c r="E26" s="200"/>
      <c r="F26" s="280">
        <f>F25/C25</f>
        <v>1</v>
      </c>
      <c r="G26" s="242"/>
      <c r="H26" s="100"/>
      <c r="I26" s="100"/>
    </row>
    <row r="27" spans="1:9" s="19" customFormat="1" ht="11.25" customHeight="1">
      <c r="A27" s="277" t="s">
        <v>130</v>
      </c>
      <c r="B27" s="278" t="str">
        <f>Orçamento!B85</f>
        <v>URBANIZAÇÃO</v>
      </c>
      <c r="C27" s="281">
        <f>Orçamento!H85</f>
        <v>2502.13</v>
      </c>
      <c r="D27" s="282">
        <f>C27/$C$34</f>
        <v>1.0039334734032642E-2</v>
      </c>
      <c r="E27" s="272"/>
      <c r="F27" s="273">
        <f>C27*40%</f>
        <v>1000.8520000000001</v>
      </c>
      <c r="G27" s="273">
        <f>C27*60%</f>
        <v>1501.278</v>
      </c>
      <c r="H27" s="240"/>
      <c r="I27" s="20"/>
    </row>
    <row r="28" spans="1:9" s="17" customFormat="1" ht="12.75">
      <c r="A28" s="198"/>
      <c r="B28" s="199"/>
      <c r="C28" s="199"/>
      <c r="D28" s="243"/>
      <c r="E28" s="200"/>
      <c r="F28" s="280">
        <f>F27/C27</f>
        <v>0.4</v>
      </c>
      <c r="G28" s="280">
        <f>G27/C27</f>
        <v>0.6</v>
      </c>
      <c r="H28" s="16"/>
      <c r="I28" s="16"/>
    </row>
    <row r="29" spans="1:9" s="19" customFormat="1" ht="11.25" customHeight="1">
      <c r="A29" s="277" t="s">
        <v>260</v>
      </c>
      <c r="B29" s="278" t="str">
        <f>Orçamento!B85</f>
        <v>URBANIZAÇÃO</v>
      </c>
      <c r="C29" s="281">
        <f>Orçamento!$H$88</f>
        <v>6312.55</v>
      </c>
      <c r="D29" s="282">
        <f>C29/$C$34</f>
        <v>2.5327941583897621E-2</v>
      </c>
      <c r="E29" s="272"/>
      <c r="F29" s="273"/>
      <c r="G29" s="273">
        <f>C29*100%</f>
        <v>6312.55</v>
      </c>
      <c r="H29" s="240"/>
      <c r="I29" s="20"/>
    </row>
    <row r="30" spans="1:9" s="521" customFormat="1" ht="12.75">
      <c r="A30" s="198"/>
      <c r="B30" s="199"/>
      <c r="C30" s="199"/>
      <c r="D30" s="243"/>
      <c r="E30" s="200"/>
      <c r="F30" s="262"/>
      <c r="G30" s="280">
        <f>G29/C29</f>
        <v>1</v>
      </c>
      <c r="H30" s="16"/>
      <c r="I30" s="16"/>
    </row>
    <row r="31" spans="1:9" s="19" customFormat="1" ht="11.25" customHeight="1">
      <c r="A31" s="277" t="s">
        <v>264</v>
      </c>
      <c r="B31" s="278" t="str">
        <f>Orçamento!B92</f>
        <v>LIMPEZA DA OBRA</v>
      </c>
      <c r="C31" s="281">
        <f>Orçamento!$H$92</f>
        <v>3306.9</v>
      </c>
      <c r="D31" s="282">
        <f>C31/$C$34</f>
        <v>1.3268325799208091E-2</v>
      </c>
      <c r="E31" s="272"/>
      <c r="F31" s="273"/>
      <c r="G31" s="273">
        <f>C31*100%</f>
        <v>3306.9</v>
      </c>
      <c r="H31" s="240"/>
      <c r="I31" s="20"/>
    </row>
    <row r="32" spans="1:9" s="17" customFormat="1" ht="12.75">
      <c r="A32" s="198"/>
      <c r="B32" s="199"/>
      <c r="C32" s="199"/>
      <c r="D32" s="243"/>
      <c r="E32" s="200"/>
      <c r="F32" s="262"/>
      <c r="G32" s="280">
        <f>G31/C31</f>
        <v>1</v>
      </c>
      <c r="H32" s="16"/>
      <c r="I32" s="16"/>
    </row>
    <row r="33" spans="1:10" s="40" customFormat="1" ht="6.75" customHeight="1">
      <c r="A33" s="34"/>
      <c r="B33" s="35"/>
      <c r="C33" s="36"/>
      <c r="D33" s="37"/>
      <c r="E33" s="38"/>
      <c r="F33" s="39"/>
      <c r="G33" s="39"/>
      <c r="H33" s="39"/>
      <c r="I33" s="39"/>
    </row>
    <row r="34" spans="1:10" s="40" customFormat="1" ht="11.25" customHeight="1">
      <c r="A34" s="232"/>
      <c r="B34" s="271" t="s">
        <v>50</v>
      </c>
      <c r="C34" s="274">
        <f>SUM(C13:C32)</f>
        <v>249232.64999999997</v>
      </c>
      <c r="D34" s="275"/>
      <c r="E34" s="276">
        <f>E13+E15+E17+E19</f>
        <v>54533.140999999989</v>
      </c>
      <c r="F34" s="276">
        <f>F15+F21+F17+F19+F23+F25+F27</f>
        <v>80281.337999999974</v>
      </c>
      <c r="G34" s="276">
        <f>G15+G21+G17+G27+G29+G31</f>
        <v>114418.17099999999</v>
      </c>
      <c r="H34" s="244"/>
      <c r="I34" s="39"/>
      <c r="J34" s="108"/>
    </row>
    <row r="35" spans="1:10" s="40" customFormat="1" ht="5.25" customHeight="1">
      <c r="A35" s="101"/>
      <c r="B35" s="245"/>
      <c r="C35" s="165"/>
      <c r="D35" s="167"/>
      <c r="E35" s="246"/>
      <c r="F35" s="247"/>
      <c r="G35" s="247"/>
      <c r="H35" s="39"/>
      <c r="I35" s="39"/>
    </row>
    <row r="36" spans="1:10" s="40" customFormat="1" ht="11.25" customHeight="1">
      <c r="A36" s="249"/>
      <c r="B36" s="250" t="s">
        <v>51</v>
      </c>
      <c r="C36" s="251"/>
      <c r="D36" s="252"/>
      <c r="E36" s="253">
        <f>E34</f>
        <v>54533.140999999989</v>
      </c>
      <c r="F36" s="253">
        <f>E36+F34</f>
        <v>134814.47899999996</v>
      </c>
      <c r="G36" s="253">
        <f>F36+G34</f>
        <v>249232.64999999997</v>
      </c>
      <c r="H36" s="244"/>
      <c r="I36" s="39"/>
      <c r="J36" s="108"/>
    </row>
    <row r="37" spans="1:10" s="40" customFormat="1" ht="5.25" customHeight="1">
      <c r="A37" s="101"/>
      <c r="B37" s="245"/>
      <c r="C37" s="165"/>
      <c r="D37" s="167"/>
      <c r="E37" s="248"/>
      <c r="F37" s="247"/>
      <c r="G37" s="247"/>
      <c r="H37" s="39"/>
      <c r="I37" s="39"/>
    </row>
    <row r="38" spans="1:10" s="22" customFormat="1" ht="15.75">
      <c r="A38" s="255"/>
      <c r="B38" s="256" t="s">
        <v>52</v>
      </c>
      <c r="C38" s="257"/>
      <c r="D38" s="258"/>
      <c r="E38" s="259"/>
      <c r="F38" s="260"/>
      <c r="G38" s="260"/>
      <c r="H38" s="254"/>
      <c r="I38" s="21"/>
    </row>
    <row r="39" spans="1:10">
      <c r="A39" s="66"/>
      <c r="B39" s="66"/>
      <c r="C39" s="71"/>
      <c r="D39" s="72"/>
      <c r="E39" s="73"/>
      <c r="F39" s="74"/>
      <c r="G39" s="75"/>
      <c r="H39" s="75"/>
      <c r="I39" s="89"/>
    </row>
    <row r="40" spans="1:10" ht="12">
      <c r="A40" s="76"/>
      <c r="B40" s="311" t="s">
        <v>272</v>
      </c>
      <c r="C40" s="78"/>
      <c r="D40" s="79"/>
      <c r="E40" s="80"/>
      <c r="F40" s="81"/>
      <c r="G40" s="82"/>
      <c r="H40" s="82"/>
      <c r="I40" s="90"/>
    </row>
    <row r="41" spans="1:10" ht="12">
      <c r="A41" s="76"/>
      <c r="B41" s="311" t="s">
        <v>272</v>
      </c>
      <c r="C41" s="71"/>
      <c r="D41" s="72"/>
      <c r="E41" s="73"/>
      <c r="F41" s="74"/>
      <c r="G41" s="75"/>
      <c r="H41" s="75"/>
      <c r="I41" s="90"/>
    </row>
    <row r="42" spans="1:10" ht="12">
      <c r="A42" s="76"/>
      <c r="B42" s="77" t="s">
        <v>501</v>
      </c>
      <c r="C42" s="78"/>
      <c r="D42" s="79"/>
      <c r="E42" s="80"/>
      <c r="F42" s="81"/>
      <c r="G42" s="82"/>
      <c r="H42" s="82"/>
      <c r="I42" s="76"/>
    </row>
    <row r="43" spans="1:10" ht="12" customHeight="1">
      <c r="A43" s="76"/>
      <c r="B43" s="83"/>
      <c r="C43" s="78"/>
      <c r="D43" s="79"/>
      <c r="E43" s="80"/>
      <c r="F43" s="81"/>
      <c r="G43" s="82"/>
      <c r="H43" s="82"/>
      <c r="I43" s="90"/>
    </row>
    <row r="44" spans="1:10" ht="12" customHeight="1">
      <c r="A44" s="76"/>
      <c r="B44" s="76"/>
      <c r="C44" s="526"/>
      <c r="D44" s="526"/>
      <c r="E44" s="526"/>
      <c r="F44" s="526"/>
      <c r="G44" s="526"/>
      <c r="H44" s="526"/>
      <c r="I44" s="90"/>
    </row>
    <row r="45" spans="1:10" s="25" customFormat="1" ht="58.5" customHeight="1">
      <c r="A45" s="84"/>
      <c r="B45" s="536" t="s">
        <v>576</v>
      </c>
      <c r="C45" s="536"/>
      <c r="D45" s="536"/>
      <c r="E45" s="536"/>
      <c r="F45" s="86"/>
      <c r="G45" s="86"/>
      <c r="H45" s="86"/>
      <c r="I45" s="84"/>
    </row>
    <row r="46" spans="1:10" s="25" customFormat="1" ht="11.25" customHeight="1">
      <c r="A46" s="84"/>
      <c r="B46" s="87"/>
      <c r="C46" s="84"/>
      <c r="D46" s="84"/>
      <c r="E46" s="85"/>
      <c r="F46" s="86"/>
      <c r="G46" s="88"/>
      <c r="H46" s="88"/>
      <c r="I46" s="84"/>
    </row>
    <row r="47" spans="1:10" s="25" customFormat="1" ht="11.25" customHeight="1">
      <c r="A47" s="524"/>
      <c r="B47" s="524"/>
      <c r="C47" s="524"/>
      <c r="D47" s="524"/>
      <c r="E47" s="524"/>
      <c r="F47" s="524"/>
      <c r="G47" s="524"/>
      <c r="H47" s="524"/>
      <c r="I47" s="91"/>
    </row>
    <row r="48" spans="1:10" s="25" customFormat="1" ht="11.25" customHeight="1">
      <c r="A48" s="24"/>
      <c r="B48" s="84"/>
      <c r="C48" s="84"/>
      <c r="D48" s="84"/>
      <c r="E48" s="84"/>
      <c r="F48" s="84"/>
      <c r="G48" s="84"/>
      <c r="H48" s="84"/>
      <c r="I48" s="84"/>
    </row>
    <row r="49" spans="1:9" s="25" customFormat="1" ht="12.75">
      <c r="A49" s="26"/>
      <c r="B49" s="26"/>
      <c r="C49" s="26"/>
      <c r="D49" s="26"/>
      <c r="E49" s="26"/>
      <c r="F49" s="26"/>
      <c r="G49" s="26"/>
      <c r="H49" s="26"/>
      <c r="I49" s="26"/>
    </row>
    <row r="50" spans="1:9" s="25" customFormat="1" ht="12.75">
      <c r="A50" s="26"/>
      <c r="B50" s="26"/>
      <c r="C50" s="26"/>
      <c r="D50" s="26"/>
      <c r="E50" s="26"/>
      <c r="F50" s="26"/>
      <c r="G50" s="26"/>
      <c r="H50" s="26"/>
      <c r="I50" s="26"/>
    </row>
    <row r="51" spans="1:9" s="25" customFormat="1" ht="12.75">
      <c r="A51" s="535"/>
      <c r="B51" s="535"/>
      <c r="C51" s="535"/>
      <c r="D51" s="535"/>
      <c r="E51" s="535"/>
      <c r="F51" s="535"/>
      <c r="G51" s="535"/>
      <c r="H51" s="535"/>
      <c r="I51" s="535"/>
    </row>
    <row r="52" spans="1:9" ht="12">
      <c r="A52" s="23"/>
      <c r="B52" s="27"/>
      <c r="C52" s="28"/>
      <c r="D52" s="29"/>
      <c r="E52" s="29"/>
      <c r="F52" s="30"/>
      <c r="G52" s="30"/>
      <c r="H52" s="30"/>
      <c r="I52" s="30"/>
    </row>
  </sheetData>
  <mergeCells count="7">
    <mergeCell ref="A1:I1"/>
    <mergeCell ref="A2:I2"/>
    <mergeCell ref="F4:I4"/>
    <mergeCell ref="A51:I51"/>
    <mergeCell ref="A47:H47"/>
    <mergeCell ref="C44:H44"/>
    <mergeCell ref="B45:E4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fitToHeight="0" orientation="landscape" horizontalDpi="4294967293" vertic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9"/>
  <sheetViews>
    <sheetView view="pageBreakPreview" topLeftCell="A15" zoomScaleNormal="100" zoomScaleSheetLayoutView="100" workbookViewId="0">
      <selection activeCell="D35" sqref="D35"/>
    </sheetView>
  </sheetViews>
  <sheetFormatPr defaultRowHeight="12.75"/>
  <cols>
    <col min="1" max="3" width="9.140625" style="358"/>
    <col min="4" max="4" width="30.85546875" style="358" customWidth="1"/>
    <col min="5" max="5" width="36.5703125" style="358" customWidth="1"/>
  </cols>
  <sheetData>
    <row r="1" spans="1:5">
      <c r="A1" s="539"/>
      <c r="B1" s="540"/>
      <c r="C1" s="543" t="s">
        <v>165</v>
      </c>
      <c r="D1" s="544"/>
      <c r="E1" s="545"/>
    </row>
    <row r="2" spans="1:5" ht="45.75" customHeight="1" thickBot="1">
      <c r="A2" s="541"/>
      <c r="B2" s="542"/>
      <c r="C2" s="546"/>
      <c r="D2" s="547"/>
      <c r="E2" s="548"/>
    </row>
    <row r="3" spans="1:5">
      <c r="A3" s="343" t="s">
        <v>166</v>
      </c>
      <c r="B3" s="549"/>
      <c r="C3" s="549"/>
      <c r="D3" s="549"/>
      <c r="E3" s="550"/>
    </row>
    <row r="4" spans="1:5">
      <c r="A4" s="551" t="s">
        <v>168</v>
      </c>
      <c r="B4" s="552"/>
      <c r="C4" s="552"/>
      <c r="D4" s="552"/>
      <c r="E4" s="553"/>
    </row>
    <row r="5" spans="1:5" ht="13.5" thickBot="1">
      <c r="A5" s="554"/>
      <c r="B5" s="555"/>
      <c r="C5" s="555"/>
      <c r="D5" s="555"/>
      <c r="E5" s="556"/>
    </row>
    <row r="6" spans="1:5">
      <c r="A6" s="344" t="s">
        <v>167</v>
      </c>
      <c r="B6" s="345"/>
      <c r="C6" s="345"/>
      <c r="D6" s="345"/>
      <c r="E6" s="346"/>
    </row>
    <row r="7" spans="1:5">
      <c r="A7" s="557" t="s">
        <v>280</v>
      </c>
      <c r="B7" s="558"/>
      <c r="C7" s="558"/>
      <c r="D7" s="558"/>
      <c r="E7" s="559"/>
    </row>
    <row r="8" spans="1:5">
      <c r="A8" s="557"/>
      <c r="B8" s="558"/>
      <c r="C8" s="558"/>
      <c r="D8" s="558"/>
      <c r="E8" s="559"/>
    </row>
    <row r="9" spans="1:5" ht="13.5" thickBot="1">
      <c r="A9" s="181"/>
      <c r="B9" s="182"/>
      <c r="C9" s="182"/>
      <c r="D9" s="182"/>
      <c r="E9" s="183"/>
    </row>
    <row r="10" spans="1:5">
      <c r="A10" s="560" t="s">
        <v>155</v>
      </c>
      <c r="B10" s="561"/>
      <c r="C10" s="562"/>
      <c r="D10" s="184" t="s">
        <v>156</v>
      </c>
      <c r="E10" s="184" t="s">
        <v>157</v>
      </c>
    </row>
    <row r="11" spans="1:5" ht="15.75" thickBot="1">
      <c r="A11" s="563" t="s">
        <v>169</v>
      </c>
      <c r="B11" s="564"/>
      <c r="C11" s="565"/>
      <c r="D11" s="185" t="s">
        <v>170</v>
      </c>
      <c r="E11" s="186">
        <v>0</v>
      </c>
    </row>
    <row r="12" spans="1:5">
      <c r="A12" s="189" t="s">
        <v>2</v>
      </c>
      <c r="B12" s="566" t="s">
        <v>158</v>
      </c>
      <c r="C12" s="566"/>
      <c r="D12" s="566"/>
      <c r="E12" s="190" t="s">
        <v>44</v>
      </c>
    </row>
    <row r="13" spans="1:5">
      <c r="A13" s="187">
        <v>1</v>
      </c>
      <c r="B13" s="538" t="s">
        <v>273</v>
      </c>
      <c r="C13" s="538"/>
      <c r="D13" s="538"/>
      <c r="E13" s="347">
        <v>3</v>
      </c>
    </row>
    <row r="14" spans="1:5">
      <c r="A14" s="187">
        <v>2</v>
      </c>
      <c r="B14" s="538" t="s">
        <v>274</v>
      </c>
      <c r="C14" s="538"/>
      <c r="D14" s="538"/>
      <c r="E14" s="348">
        <v>1.2</v>
      </c>
    </row>
    <row r="15" spans="1:5">
      <c r="A15" s="187">
        <v>3</v>
      </c>
      <c r="B15" s="538" t="s">
        <v>275</v>
      </c>
      <c r="C15" s="538"/>
      <c r="D15" s="538"/>
      <c r="E15" s="348">
        <v>0.4</v>
      </c>
    </row>
    <row r="16" spans="1:5">
      <c r="A16" s="188">
        <v>4</v>
      </c>
      <c r="B16" s="538" t="s">
        <v>276</v>
      </c>
      <c r="C16" s="538"/>
      <c r="D16" s="538"/>
      <c r="E16" s="348">
        <v>0.65</v>
      </c>
    </row>
    <row r="17" spans="1:5">
      <c r="A17" s="187">
        <v>4</v>
      </c>
      <c r="B17" s="538" t="s">
        <v>277</v>
      </c>
      <c r="C17" s="538"/>
      <c r="D17" s="538"/>
      <c r="E17" s="348">
        <v>5.5</v>
      </c>
    </row>
    <row r="18" spans="1:5">
      <c r="A18" s="187">
        <v>5</v>
      </c>
      <c r="B18" s="538" t="s">
        <v>278</v>
      </c>
      <c r="C18" s="538"/>
      <c r="D18" s="538"/>
      <c r="E18" s="348">
        <f>SUM(E19:E22)</f>
        <v>11.15</v>
      </c>
    </row>
    <row r="19" spans="1:5">
      <c r="A19" s="188" t="s">
        <v>29</v>
      </c>
      <c r="B19" s="570" t="s">
        <v>159</v>
      </c>
      <c r="C19" s="570"/>
      <c r="D19" s="570"/>
      <c r="E19" s="349">
        <v>3</v>
      </c>
    </row>
    <row r="20" spans="1:5">
      <c r="A20" s="188" t="s">
        <v>30</v>
      </c>
      <c r="B20" s="328" t="s">
        <v>148</v>
      </c>
      <c r="C20" s="328"/>
      <c r="D20" s="328"/>
      <c r="E20" s="350">
        <v>0.65</v>
      </c>
    </row>
    <row r="21" spans="1:5">
      <c r="A21" s="191" t="s">
        <v>31</v>
      </c>
      <c r="B21" s="571" t="s">
        <v>160</v>
      </c>
      <c r="C21" s="571"/>
      <c r="D21" s="571"/>
      <c r="E21" s="351">
        <v>3</v>
      </c>
    </row>
    <row r="22" spans="1:5" ht="13.5" thickBot="1">
      <c r="A22" s="191" t="s">
        <v>32</v>
      </c>
      <c r="B22" s="571" t="s">
        <v>279</v>
      </c>
      <c r="C22" s="571"/>
      <c r="D22" s="571"/>
      <c r="E22" s="351">
        <v>4.5</v>
      </c>
    </row>
    <row r="23" spans="1:5" ht="13.5" thickBot="1">
      <c r="A23" s="192" t="s">
        <v>1</v>
      </c>
      <c r="B23" s="572" t="s">
        <v>164</v>
      </c>
      <c r="C23" s="572"/>
      <c r="D23" s="572"/>
      <c r="E23" s="352">
        <f>(((1+((E13+E15+E16)/100))*(1+(E14/100))*(1+(E17/100))/(1-(E18/100))-1)*100)</f>
        <v>25.030976927405746</v>
      </c>
    </row>
    <row r="24" spans="1:5" ht="16.5">
      <c r="A24" s="193" t="s">
        <v>161</v>
      </c>
      <c r="B24" s="194"/>
      <c r="C24" s="195"/>
      <c r="D24" s="195"/>
      <c r="E24" s="196"/>
    </row>
    <row r="25" spans="1:5" ht="14.25">
      <c r="A25" s="573" t="s">
        <v>162</v>
      </c>
      <c r="B25" s="574"/>
      <c r="C25" s="574"/>
      <c r="D25" s="574"/>
      <c r="E25" s="575"/>
    </row>
    <row r="26" spans="1:5" ht="15" thickBot="1">
      <c r="A26" s="576" t="s">
        <v>163</v>
      </c>
      <c r="B26" s="577"/>
      <c r="C26" s="577"/>
      <c r="D26" s="577"/>
      <c r="E26" s="578"/>
    </row>
    <row r="27" spans="1:5" ht="14.25">
      <c r="A27" s="579"/>
      <c r="B27" s="574"/>
      <c r="C27" s="574"/>
      <c r="D27" s="574"/>
      <c r="E27" s="580"/>
    </row>
    <row r="28" spans="1:5" ht="14.25">
      <c r="A28" s="329"/>
      <c r="B28" s="330"/>
      <c r="C28" s="330"/>
      <c r="D28" s="330"/>
      <c r="E28" s="331"/>
    </row>
    <row r="29" spans="1:5" ht="14.25">
      <c r="A29" s="329"/>
      <c r="B29" s="330"/>
      <c r="C29" s="330"/>
      <c r="D29" s="330"/>
      <c r="E29" s="331"/>
    </row>
    <row r="30" spans="1:5" ht="14.25">
      <c r="A30" s="329"/>
      <c r="B30" s="330"/>
      <c r="C30" s="587" t="s">
        <v>576</v>
      </c>
      <c r="D30" s="587"/>
      <c r="E30" s="331"/>
    </row>
    <row r="31" spans="1:5">
      <c r="A31" s="353"/>
      <c r="B31" s="353"/>
      <c r="C31" s="587"/>
      <c r="D31" s="587"/>
      <c r="E31" s="353"/>
    </row>
    <row r="32" spans="1:5">
      <c r="A32" s="353"/>
      <c r="B32" s="353"/>
      <c r="C32" s="587"/>
      <c r="D32" s="587"/>
      <c r="E32" s="353"/>
    </row>
    <row r="33" spans="1:5">
      <c r="A33" s="354"/>
      <c r="B33" s="354"/>
      <c r="C33" s="588"/>
      <c r="D33" s="588"/>
      <c r="E33" s="354"/>
    </row>
    <row r="34" spans="1:5" ht="14.25">
      <c r="A34" s="329"/>
      <c r="B34" s="330"/>
      <c r="C34" s="330"/>
      <c r="D34" s="330"/>
      <c r="E34" s="331"/>
    </row>
    <row r="35" spans="1:5" ht="14.25">
      <c r="A35" s="329"/>
      <c r="B35" s="330"/>
      <c r="C35" s="330"/>
      <c r="D35" s="330"/>
      <c r="E35" s="331"/>
    </row>
    <row r="36" spans="1:5">
      <c r="A36" s="581"/>
      <c r="B36" s="582"/>
      <c r="C36" s="582"/>
      <c r="D36" s="582"/>
      <c r="E36" s="583"/>
    </row>
    <row r="37" spans="1:5">
      <c r="A37" s="584"/>
      <c r="B37" s="585"/>
      <c r="C37" s="585"/>
      <c r="D37" s="585"/>
      <c r="E37" s="586"/>
    </row>
    <row r="38" spans="1:5" ht="14.25">
      <c r="A38" s="329"/>
      <c r="B38" s="330"/>
      <c r="C38" s="330"/>
      <c r="D38" s="330"/>
      <c r="E38" s="331"/>
    </row>
    <row r="39" spans="1:5" ht="14.25">
      <c r="A39" s="329"/>
      <c r="B39" s="330"/>
      <c r="C39" s="330"/>
      <c r="D39" s="330"/>
      <c r="E39" s="331"/>
    </row>
    <row r="40" spans="1:5" ht="14.25">
      <c r="A40" s="329"/>
      <c r="B40" s="330"/>
      <c r="C40" s="330"/>
      <c r="D40" s="330"/>
      <c r="E40" s="331"/>
    </row>
    <row r="41" spans="1:5" ht="14.25">
      <c r="A41" s="329"/>
      <c r="B41" s="330"/>
      <c r="C41" s="330"/>
      <c r="D41" s="330"/>
      <c r="E41" s="331"/>
    </row>
    <row r="42" spans="1:5" ht="14.25">
      <c r="A42" s="329"/>
      <c r="B42" s="330"/>
      <c r="C42" s="330"/>
      <c r="D42" s="330"/>
      <c r="E42" s="331"/>
    </row>
    <row r="43" spans="1:5" ht="14.25">
      <c r="A43" s="329"/>
      <c r="B43" s="330"/>
      <c r="C43" s="330"/>
      <c r="D43" s="330"/>
      <c r="E43" s="331"/>
    </row>
    <row r="44" spans="1:5" ht="14.25">
      <c r="A44" s="329"/>
      <c r="B44" s="330"/>
      <c r="C44" s="330"/>
      <c r="D44" s="330"/>
      <c r="E44" s="331"/>
    </row>
    <row r="45" spans="1:5" ht="14.25">
      <c r="A45" s="329"/>
      <c r="B45" s="330"/>
      <c r="C45" s="330"/>
      <c r="D45" s="330"/>
      <c r="E45" s="331"/>
    </row>
    <row r="46" spans="1:5" ht="14.25">
      <c r="A46" s="329"/>
      <c r="B46" s="330"/>
      <c r="C46" s="330"/>
      <c r="D46" s="330"/>
      <c r="E46" s="331"/>
    </row>
    <row r="47" spans="1:5" ht="14.25">
      <c r="A47" s="579"/>
      <c r="B47" s="574"/>
      <c r="C47" s="574"/>
      <c r="D47" s="574"/>
      <c r="E47" s="580"/>
    </row>
    <row r="48" spans="1:5" ht="14.25">
      <c r="A48" s="567"/>
      <c r="B48" s="568"/>
      <c r="C48" s="568"/>
      <c r="D48" s="568"/>
      <c r="E48" s="569"/>
    </row>
    <row r="49" spans="1:5" ht="13.5" thickBot="1">
      <c r="A49" s="355"/>
      <c r="B49" s="356"/>
      <c r="C49" s="356"/>
      <c r="D49" s="356"/>
      <c r="E49" s="357"/>
    </row>
  </sheetData>
  <mergeCells count="25">
    <mergeCell ref="A48:E48"/>
    <mergeCell ref="B17:D17"/>
    <mergeCell ref="B18:D18"/>
    <mergeCell ref="B19:D19"/>
    <mergeCell ref="B21:D21"/>
    <mergeCell ref="B22:D22"/>
    <mergeCell ref="B23:D23"/>
    <mergeCell ref="A25:E25"/>
    <mergeCell ref="A26:E26"/>
    <mergeCell ref="A27:E27"/>
    <mergeCell ref="A36:E37"/>
    <mergeCell ref="A47:E47"/>
    <mergeCell ref="C30:D33"/>
    <mergeCell ref="B16:D16"/>
    <mergeCell ref="A1:B2"/>
    <mergeCell ref="C1:E2"/>
    <mergeCell ref="B3:E3"/>
    <mergeCell ref="A4:E5"/>
    <mergeCell ref="A7:E8"/>
    <mergeCell ref="A10:C10"/>
    <mergeCell ref="A11:C11"/>
    <mergeCell ref="B12:D12"/>
    <mergeCell ref="B13:D13"/>
    <mergeCell ref="B14:D14"/>
    <mergeCell ref="B15:D15"/>
  </mergeCells>
  <pageMargins left="0.511811024" right="0.511811024" top="0.78740157499999996" bottom="0.78740157499999996" header="0.31496062000000002" footer="0.31496062000000002"/>
  <pageSetup paperSize="9" scale="99"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D55"/>
  <sheetViews>
    <sheetView view="pageBreakPreview" topLeftCell="A40" zoomScale="110" zoomScaleNormal="100" zoomScaleSheetLayoutView="110" workbookViewId="0">
      <selection activeCell="B62" sqref="B62"/>
    </sheetView>
  </sheetViews>
  <sheetFormatPr defaultRowHeight="12.75"/>
  <cols>
    <col min="2" max="2" width="50.85546875" customWidth="1"/>
    <col min="3" max="3" width="14.42578125" customWidth="1"/>
    <col min="4" max="4" width="11.28515625" style="419" customWidth="1"/>
  </cols>
  <sheetData>
    <row r="2" spans="1:4">
      <c r="A2" s="67" t="s">
        <v>86</v>
      </c>
      <c r="B2" s="67"/>
      <c r="C2" s="67"/>
      <c r="D2" s="67"/>
    </row>
    <row r="3" spans="1:4">
      <c r="A3" s="70" t="s">
        <v>0</v>
      </c>
      <c r="B3" s="70"/>
      <c r="C3" s="70"/>
      <c r="D3" s="70"/>
    </row>
    <row r="4" spans="1:4" ht="12.75" customHeight="1">
      <c r="A4" s="70" t="s">
        <v>112</v>
      </c>
      <c r="B4" s="70"/>
      <c r="C4" s="70"/>
      <c r="D4" s="70"/>
    </row>
    <row r="5" spans="1:4" ht="12.75" customHeight="1">
      <c r="A5" s="70" t="s">
        <v>281</v>
      </c>
      <c r="B5" s="70"/>
      <c r="C5" s="70"/>
      <c r="D5" s="70"/>
    </row>
    <row r="6" spans="1:4">
      <c r="A6" s="70" t="s">
        <v>172</v>
      </c>
      <c r="B6" s="70"/>
      <c r="C6" s="70"/>
      <c r="D6" s="70"/>
    </row>
    <row r="7" spans="1:4" ht="13.5" thickBot="1">
      <c r="A7" s="70" t="s">
        <v>87</v>
      </c>
      <c r="B7" s="70"/>
      <c r="C7" s="70"/>
      <c r="D7" s="70"/>
    </row>
    <row r="8" spans="1:4" ht="13.5" thickBot="1">
      <c r="A8" s="590" t="s">
        <v>173</v>
      </c>
      <c r="B8" s="591"/>
      <c r="C8" s="591"/>
      <c r="D8" s="592"/>
    </row>
    <row r="9" spans="1:4" ht="13.5" thickBot="1">
      <c r="A9" s="283"/>
      <c r="B9" s="283"/>
      <c r="C9" s="283"/>
      <c r="D9" s="479"/>
    </row>
    <row r="10" spans="1:4" ht="26.25" thickBot="1">
      <c r="A10" s="284" t="s">
        <v>174</v>
      </c>
      <c r="B10" s="285" t="s">
        <v>3</v>
      </c>
      <c r="C10" s="286" t="s">
        <v>175</v>
      </c>
      <c r="D10" s="480" t="s">
        <v>176</v>
      </c>
    </row>
    <row r="11" spans="1:4" ht="13.5" thickBot="1">
      <c r="A11" s="593" t="s">
        <v>177</v>
      </c>
      <c r="B11" s="596"/>
      <c r="C11" s="596"/>
      <c r="D11" s="594"/>
    </row>
    <row r="12" spans="1:4">
      <c r="A12" s="287" t="s">
        <v>178</v>
      </c>
      <c r="B12" s="288" t="s">
        <v>179</v>
      </c>
      <c r="C12" s="289">
        <v>0</v>
      </c>
      <c r="D12" s="481">
        <v>0</v>
      </c>
    </row>
    <row r="13" spans="1:4">
      <c r="A13" s="290" t="s">
        <v>180</v>
      </c>
      <c r="B13" s="291" t="s">
        <v>181</v>
      </c>
      <c r="C13" s="292">
        <v>1.5</v>
      </c>
      <c r="D13" s="482">
        <v>1.5</v>
      </c>
    </row>
    <row r="14" spans="1:4">
      <c r="A14" s="290" t="s">
        <v>182</v>
      </c>
      <c r="B14" s="291" t="s">
        <v>183</v>
      </c>
      <c r="C14" s="292">
        <v>1</v>
      </c>
      <c r="D14" s="482">
        <v>1</v>
      </c>
    </row>
    <row r="15" spans="1:4">
      <c r="A15" s="290" t="s">
        <v>184</v>
      </c>
      <c r="B15" s="291" t="s">
        <v>185</v>
      </c>
      <c r="C15" s="292">
        <v>0.2</v>
      </c>
      <c r="D15" s="482">
        <v>0.2</v>
      </c>
    </row>
    <row r="16" spans="1:4">
      <c r="A16" s="290" t="s">
        <v>186</v>
      </c>
      <c r="B16" s="291" t="s">
        <v>187</v>
      </c>
      <c r="C16" s="292">
        <v>0.6</v>
      </c>
      <c r="D16" s="482">
        <v>0.6</v>
      </c>
    </row>
    <row r="17" spans="1:4">
      <c r="A17" s="290" t="s">
        <v>188</v>
      </c>
      <c r="B17" s="291" t="s">
        <v>189</v>
      </c>
      <c r="C17" s="292">
        <v>2.5</v>
      </c>
      <c r="D17" s="482">
        <v>2.5</v>
      </c>
    </row>
    <row r="18" spans="1:4">
      <c r="A18" s="290" t="s">
        <v>190</v>
      </c>
      <c r="B18" s="291" t="s">
        <v>191</v>
      </c>
      <c r="C18" s="292">
        <v>3</v>
      </c>
      <c r="D18" s="482">
        <v>3</v>
      </c>
    </row>
    <row r="19" spans="1:4">
      <c r="A19" s="290" t="s">
        <v>192</v>
      </c>
      <c r="B19" s="291" t="s">
        <v>193</v>
      </c>
      <c r="C19" s="292">
        <v>8</v>
      </c>
      <c r="D19" s="482">
        <v>8</v>
      </c>
    </row>
    <row r="20" spans="1:4" ht="13.5" thickBot="1">
      <c r="A20" s="293" t="s">
        <v>194</v>
      </c>
      <c r="B20" s="294" t="s">
        <v>195</v>
      </c>
      <c r="C20" s="295">
        <v>1</v>
      </c>
      <c r="D20" s="483">
        <v>1</v>
      </c>
    </row>
    <row r="21" spans="1:4" ht="13.5" thickBot="1">
      <c r="A21" s="593" t="s">
        <v>196</v>
      </c>
      <c r="B21" s="594"/>
      <c r="C21" s="296">
        <f>SUM(C12:C20)</f>
        <v>17.8</v>
      </c>
      <c r="D21" s="296">
        <f>SUM(D12:D19)</f>
        <v>16.8</v>
      </c>
    </row>
    <row r="22" spans="1:4" ht="13.5" thickBot="1">
      <c r="A22" s="593" t="s">
        <v>197</v>
      </c>
      <c r="B22" s="596"/>
      <c r="C22" s="596"/>
      <c r="D22" s="594"/>
    </row>
    <row r="23" spans="1:4">
      <c r="A23" s="297" t="s">
        <v>198</v>
      </c>
      <c r="B23" s="288" t="s">
        <v>199</v>
      </c>
      <c r="C23" s="289">
        <v>17.989999999999998</v>
      </c>
      <c r="D23" s="481">
        <v>0</v>
      </c>
    </row>
    <row r="24" spans="1:4">
      <c r="A24" s="298" t="s">
        <v>200</v>
      </c>
      <c r="B24" s="299" t="s">
        <v>201</v>
      </c>
      <c r="C24" s="292">
        <v>4.6900000000000004</v>
      </c>
      <c r="D24" s="482">
        <v>0</v>
      </c>
    </row>
    <row r="25" spans="1:4">
      <c r="A25" s="298" t="s">
        <v>202</v>
      </c>
      <c r="B25" s="291" t="s">
        <v>203</v>
      </c>
      <c r="C25" s="292">
        <v>0.91</v>
      </c>
      <c r="D25" s="482">
        <v>0.69</v>
      </c>
    </row>
    <row r="26" spans="1:4">
      <c r="A26" s="298" t="s">
        <v>204</v>
      </c>
      <c r="B26" s="291" t="s">
        <v>205</v>
      </c>
      <c r="C26" s="292">
        <v>10.93</v>
      </c>
      <c r="D26" s="482">
        <v>8.33</v>
      </c>
    </row>
    <row r="27" spans="1:4">
      <c r="A27" s="298" t="s">
        <v>206</v>
      </c>
      <c r="B27" s="291" t="s">
        <v>207</v>
      </c>
      <c r="C27" s="292">
        <v>0.08</v>
      </c>
      <c r="D27" s="482">
        <v>0.06</v>
      </c>
    </row>
    <row r="28" spans="1:4">
      <c r="A28" s="298" t="s">
        <v>208</v>
      </c>
      <c r="B28" s="291" t="s">
        <v>209</v>
      </c>
      <c r="C28" s="292">
        <v>0.73</v>
      </c>
      <c r="D28" s="482">
        <v>0.56000000000000005</v>
      </c>
    </row>
    <row r="29" spans="1:4">
      <c r="A29" s="298" t="s">
        <v>210</v>
      </c>
      <c r="B29" s="291" t="s">
        <v>211</v>
      </c>
      <c r="C29" s="292">
        <v>1.35</v>
      </c>
      <c r="D29" s="482">
        <v>0</v>
      </c>
    </row>
    <row r="30" spans="1:4">
      <c r="A30" s="298" t="s">
        <v>212</v>
      </c>
      <c r="B30" s="291" t="s">
        <v>213</v>
      </c>
      <c r="C30" s="292">
        <v>0.12</v>
      </c>
      <c r="D30" s="482">
        <v>0.09</v>
      </c>
    </row>
    <row r="31" spans="1:4">
      <c r="A31" s="298" t="s">
        <v>214</v>
      </c>
      <c r="B31" s="299" t="s">
        <v>215</v>
      </c>
      <c r="C31" s="292">
        <v>9.56</v>
      </c>
      <c r="D31" s="482">
        <v>7.29</v>
      </c>
    </row>
    <row r="32" spans="1:4" ht="13.5" thickBot="1">
      <c r="A32" s="300" t="s">
        <v>216</v>
      </c>
      <c r="B32" s="301" t="s">
        <v>217</v>
      </c>
      <c r="C32" s="295">
        <v>0.03</v>
      </c>
      <c r="D32" s="483">
        <v>0.02</v>
      </c>
    </row>
    <row r="33" spans="1:4" ht="13.5" thickBot="1">
      <c r="A33" s="593" t="s">
        <v>218</v>
      </c>
      <c r="B33" s="594"/>
      <c r="C33" s="296">
        <f>SUM(C23:C32)</f>
        <v>46.389999999999993</v>
      </c>
      <c r="D33" s="296">
        <f>SUM(D23:D32)</f>
        <v>17.04</v>
      </c>
    </row>
    <row r="34" spans="1:4" ht="13.5" thickBot="1">
      <c r="A34" s="593" t="s">
        <v>219</v>
      </c>
      <c r="B34" s="596"/>
      <c r="C34" s="596"/>
      <c r="D34" s="594"/>
    </row>
    <row r="35" spans="1:4">
      <c r="A35" s="297" t="s">
        <v>220</v>
      </c>
      <c r="B35" s="288" t="s">
        <v>221</v>
      </c>
      <c r="C35" s="302">
        <v>4.9000000000000004</v>
      </c>
      <c r="D35" s="481">
        <v>4</v>
      </c>
    </row>
    <row r="36" spans="1:4">
      <c r="A36" s="298" t="s">
        <v>222</v>
      </c>
      <c r="B36" s="291" t="s">
        <v>223</v>
      </c>
      <c r="C36" s="303">
        <v>5.9</v>
      </c>
      <c r="D36" s="484">
        <v>0.11</v>
      </c>
    </row>
    <row r="37" spans="1:4">
      <c r="A37" s="298" t="s">
        <v>224</v>
      </c>
      <c r="B37" s="291" t="s">
        <v>225</v>
      </c>
      <c r="C37" s="303">
        <v>0.14000000000000001</v>
      </c>
      <c r="D37" s="484">
        <v>3.03</v>
      </c>
    </row>
    <row r="38" spans="1:4">
      <c r="A38" s="298" t="s">
        <v>226</v>
      </c>
      <c r="B38" s="291" t="s">
        <v>227</v>
      </c>
      <c r="C38" s="303">
        <v>3.97</v>
      </c>
      <c r="D38" s="484">
        <v>3.74</v>
      </c>
    </row>
    <row r="39" spans="1:4" ht="13.5" thickBot="1">
      <c r="A39" s="300" t="s">
        <v>228</v>
      </c>
      <c r="B39" s="301" t="s">
        <v>229</v>
      </c>
      <c r="C39" s="304">
        <v>0.5</v>
      </c>
      <c r="D39" s="483">
        <v>0.38</v>
      </c>
    </row>
    <row r="40" spans="1:4" ht="13.5" thickBot="1">
      <c r="A40" s="593" t="s">
        <v>230</v>
      </c>
      <c r="B40" s="594"/>
      <c r="C40" s="305">
        <f>SUM(C35:C39)</f>
        <v>15.410000000000002</v>
      </c>
      <c r="D40" s="305">
        <f>SUM(D35:D39)</f>
        <v>11.260000000000002</v>
      </c>
    </row>
    <row r="41" spans="1:4" ht="13.5" thickBot="1">
      <c r="A41" s="593" t="s">
        <v>231</v>
      </c>
      <c r="B41" s="596"/>
      <c r="C41" s="596"/>
      <c r="D41" s="594"/>
    </row>
    <row r="42" spans="1:4">
      <c r="A42" s="297" t="s">
        <v>232</v>
      </c>
      <c r="B42" s="306" t="s">
        <v>233</v>
      </c>
      <c r="C42" s="302">
        <v>8.26</v>
      </c>
      <c r="D42" s="485">
        <v>3.03</v>
      </c>
    </row>
    <row r="43" spans="1:4" ht="32.25" customHeight="1" thickBot="1">
      <c r="A43" s="300" t="s">
        <v>234</v>
      </c>
      <c r="B43" s="307" t="s">
        <v>235</v>
      </c>
      <c r="C43" s="304">
        <v>0.5</v>
      </c>
      <c r="D43" s="486">
        <v>0.38</v>
      </c>
    </row>
    <row r="44" spans="1:4" ht="13.5" thickBot="1">
      <c r="A44" s="593" t="s">
        <v>236</v>
      </c>
      <c r="B44" s="594"/>
      <c r="C44" s="305">
        <f>SUM(C42:C43)</f>
        <v>8.76</v>
      </c>
      <c r="D44" s="305">
        <f>SUM(D42:D43)</f>
        <v>3.4099999999999997</v>
      </c>
    </row>
    <row r="45" spans="1:4" ht="13.5" thickBot="1">
      <c r="A45" s="595" t="s">
        <v>237</v>
      </c>
      <c r="B45" s="596"/>
      <c r="C45" s="596"/>
      <c r="D45" s="594"/>
    </row>
    <row r="46" spans="1:4" ht="13.5" thickBot="1">
      <c r="A46" s="308" t="s">
        <v>238</v>
      </c>
      <c r="B46" s="309"/>
      <c r="C46" s="309"/>
      <c r="D46" s="487"/>
    </row>
    <row r="47" spans="1:4" ht="13.5" thickBot="1">
      <c r="A47" s="595" t="s">
        <v>239</v>
      </c>
      <c r="B47" s="597"/>
      <c r="C47" s="296">
        <v>0</v>
      </c>
      <c r="D47" s="296">
        <v>0</v>
      </c>
    </row>
    <row r="48" spans="1:4" ht="13.5" thickBot="1">
      <c r="A48" s="595" t="s">
        <v>240</v>
      </c>
      <c r="B48" s="597"/>
      <c r="C48" s="296">
        <v>89.05</v>
      </c>
      <c r="D48" s="296">
        <v>50.91</v>
      </c>
    </row>
    <row r="49" spans="1:4">
      <c r="A49" s="283"/>
      <c r="B49" s="310" t="s">
        <v>241</v>
      </c>
      <c r="C49" s="283"/>
      <c r="D49" s="479"/>
    </row>
    <row r="50" spans="1:4">
      <c r="A50" s="283"/>
      <c r="B50" s="310"/>
      <c r="C50" s="283"/>
      <c r="D50" s="479"/>
    </row>
    <row r="51" spans="1:4">
      <c r="A51" s="311" t="s">
        <v>272</v>
      </c>
    </row>
    <row r="53" spans="1:4">
      <c r="B53" s="589" t="s">
        <v>576</v>
      </c>
    </row>
    <row r="54" spans="1:4">
      <c r="B54" s="589"/>
    </row>
    <row r="55" spans="1:4">
      <c r="B55" s="589"/>
    </row>
  </sheetData>
  <mergeCells count="13">
    <mergeCell ref="B53:B55"/>
    <mergeCell ref="A8:D8"/>
    <mergeCell ref="A44:B44"/>
    <mergeCell ref="A45:D45"/>
    <mergeCell ref="A47:B47"/>
    <mergeCell ref="A48:B48"/>
    <mergeCell ref="A41:D41"/>
    <mergeCell ref="A40:B40"/>
    <mergeCell ref="A11:D11"/>
    <mergeCell ref="A21:B21"/>
    <mergeCell ref="A22:D22"/>
    <mergeCell ref="A33:B33"/>
    <mergeCell ref="A34:D34"/>
  </mergeCells>
  <pageMargins left="0.511811024" right="0.511811024" top="0.78740157499999996" bottom="0.78740157499999996" header="0.31496062000000002" footer="0.31496062000000002"/>
  <pageSetup paperSize="9" scale="9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558"/>
  <sheetViews>
    <sheetView tabSelected="1" view="pageBreakPreview" topLeftCell="A523" zoomScale="70" zoomScaleNormal="100" zoomScaleSheetLayoutView="70" workbookViewId="0">
      <selection activeCell="B555" sqref="B555:E557"/>
    </sheetView>
  </sheetViews>
  <sheetFormatPr defaultRowHeight="12.75"/>
  <cols>
    <col min="1" max="1" width="12.7109375" style="359" customWidth="1"/>
    <col min="2" max="2" width="59" style="360" customWidth="1"/>
    <col min="3" max="3" width="5.42578125" style="361" customWidth="1"/>
    <col min="4" max="4" width="12.28515625" style="362" customWidth="1"/>
    <col min="5" max="5" width="8.7109375" style="363" customWidth="1"/>
    <col min="6" max="6" width="23" style="47" customWidth="1"/>
    <col min="7" max="7" width="14.42578125" customWidth="1"/>
    <col min="8" max="8" width="72.42578125" customWidth="1"/>
  </cols>
  <sheetData>
    <row r="2" spans="1:6" ht="15.75">
      <c r="A2" s="423"/>
      <c r="B2" s="423"/>
      <c r="C2" s="424"/>
      <c r="D2" s="425"/>
      <c r="E2" s="426"/>
      <c r="F2" s="426"/>
    </row>
    <row r="3" spans="1:6">
      <c r="A3" s="427" t="s">
        <v>86</v>
      </c>
      <c r="B3" s="428"/>
      <c r="C3" s="429"/>
      <c r="D3" s="430"/>
      <c r="E3" s="431"/>
      <c r="F3" s="431"/>
    </row>
    <row r="4" spans="1:6">
      <c r="A4" s="432" t="s">
        <v>0</v>
      </c>
      <c r="B4" s="433"/>
      <c r="C4" s="434"/>
      <c r="D4" s="435"/>
      <c r="E4" s="436"/>
      <c r="F4" s="431"/>
    </row>
    <row r="5" spans="1:6">
      <c r="A5" s="432" t="s">
        <v>112</v>
      </c>
      <c r="B5" s="433"/>
      <c r="C5" s="437"/>
      <c r="D5" s="438"/>
      <c r="E5" s="439"/>
      <c r="F5" s="431"/>
    </row>
    <row r="6" spans="1:6">
      <c r="A6" s="432" t="s">
        <v>281</v>
      </c>
      <c r="B6" s="433"/>
      <c r="C6" s="437"/>
      <c r="D6" s="438"/>
      <c r="E6" s="439"/>
      <c r="F6" s="431"/>
    </row>
    <row r="7" spans="1:6">
      <c r="A7" s="432" t="s">
        <v>172</v>
      </c>
      <c r="B7" s="440"/>
      <c r="C7" s="437"/>
      <c r="D7" s="438"/>
      <c r="E7" s="439"/>
      <c r="F7" s="431"/>
    </row>
    <row r="8" spans="1:6">
      <c r="A8" s="432" t="s">
        <v>87</v>
      </c>
      <c r="B8" s="433"/>
      <c r="C8" s="437"/>
      <c r="D8" s="438"/>
      <c r="E8" s="439"/>
      <c r="F8" s="431"/>
    </row>
    <row r="9" spans="1:6">
      <c r="A9" s="600"/>
      <c r="B9" s="600"/>
      <c r="C9" s="600"/>
      <c r="D9" s="600"/>
      <c r="E9" s="600"/>
      <c r="F9" s="600"/>
    </row>
    <row r="10" spans="1:6">
      <c r="A10" s="598" t="s">
        <v>459</v>
      </c>
      <c r="B10" s="598"/>
      <c r="C10" s="598"/>
      <c r="D10" s="598"/>
      <c r="E10" s="598"/>
      <c r="F10" s="598"/>
    </row>
    <row r="11" spans="1:6">
      <c r="A11" s="598" t="s">
        <v>282</v>
      </c>
      <c r="B11" s="598"/>
      <c r="C11" s="598"/>
      <c r="D11" s="598"/>
      <c r="E11" s="598"/>
      <c r="F11" s="598"/>
    </row>
    <row r="12" spans="1:6">
      <c r="A12" s="402" t="s">
        <v>2</v>
      </c>
      <c r="B12" s="441" t="s">
        <v>283</v>
      </c>
      <c r="C12" s="442" t="s">
        <v>284</v>
      </c>
      <c r="D12" s="443" t="s">
        <v>285</v>
      </c>
      <c r="E12" s="444" t="s">
        <v>286</v>
      </c>
      <c r="F12" s="445" t="s">
        <v>287</v>
      </c>
    </row>
    <row r="13" spans="1:6">
      <c r="A13" s="379"/>
      <c r="B13" s="446"/>
      <c r="C13" s="447"/>
      <c r="D13" s="447"/>
      <c r="E13" s="448"/>
      <c r="F13" s="379"/>
    </row>
    <row r="14" spans="1:6">
      <c r="A14" s="368" t="s">
        <v>288</v>
      </c>
      <c r="B14" s="364" t="s">
        <v>289</v>
      </c>
      <c r="C14" s="401"/>
      <c r="D14" s="365"/>
      <c r="E14" s="367"/>
      <c r="F14" s="368" t="s">
        <v>290</v>
      </c>
    </row>
    <row r="15" spans="1:6">
      <c r="A15" s="418"/>
      <c r="B15" s="449" t="s">
        <v>291</v>
      </c>
      <c r="C15" s="370" t="s">
        <v>60</v>
      </c>
      <c r="D15" s="450">
        <v>1</v>
      </c>
      <c r="E15" s="382">
        <v>4.28</v>
      </c>
      <c r="F15" s="373">
        <f>E15*D15</f>
        <v>4.28</v>
      </c>
    </row>
    <row r="16" spans="1:6">
      <c r="A16" s="418"/>
      <c r="B16" s="449" t="s">
        <v>292</v>
      </c>
      <c r="C16" s="370" t="s">
        <v>60</v>
      </c>
      <c r="D16" s="451">
        <v>4.01</v>
      </c>
      <c r="E16" s="382">
        <v>4.57</v>
      </c>
      <c r="F16" s="373">
        <f t="shared" ref="F16:F19" si="0">E16*D16</f>
        <v>18.325700000000001</v>
      </c>
    </row>
    <row r="17" spans="1:6" ht="24">
      <c r="A17" s="418"/>
      <c r="B17" s="369" t="s">
        <v>293</v>
      </c>
      <c r="C17" s="370" t="s">
        <v>290</v>
      </c>
      <c r="D17" s="450">
        <v>1</v>
      </c>
      <c r="E17" s="382">
        <v>225</v>
      </c>
      <c r="F17" s="373">
        <f t="shared" si="0"/>
        <v>225</v>
      </c>
    </row>
    <row r="18" spans="1:6">
      <c r="A18" s="418"/>
      <c r="B18" s="449" t="s">
        <v>294</v>
      </c>
      <c r="C18" s="370" t="s">
        <v>295</v>
      </c>
      <c r="D18" s="450">
        <v>0.11</v>
      </c>
      <c r="E18" s="382">
        <v>9.15</v>
      </c>
      <c r="F18" s="373">
        <f t="shared" si="0"/>
        <v>1.0065</v>
      </c>
    </row>
    <row r="19" spans="1:6">
      <c r="A19" s="418"/>
      <c r="B19" s="449" t="s">
        <v>296</v>
      </c>
      <c r="C19" s="370" t="s">
        <v>297</v>
      </c>
      <c r="D19" s="450">
        <v>0.01</v>
      </c>
      <c r="E19" s="382">
        <v>209.05</v>
      </c>
      <c r="F19" s="373">
        <f t="shared" si="0"/>
        <v>2.0905</v>
      </c>
    </row>
    <row r="20" spans="1:6">
      <c r="A20" s="418"/>
      <c r="B20" s="378"/>
      <c r="C20" s="418"/>
      <c r="D20" s="420" t="s">
        <v>298</v>
      </c>
      <c r="E20" s="448"/>
      <c r="F20" s="422">
        <f>SUM(F15:F19)</f>
        <v>250.70269999999999</v>
      </c>
    </row>
    <row r="21" spans="1:6" ht="27.75" customHeight="1">
      <c r="A21" s="418"/>
      <c r="B21" s="386" t="s">
        <v>299</v>
      </c>
      <c r="C21" s="387" t="s">
        <v>300</v>
      </c>
      <c r="D21" s="388">
        <v>1</v>
      </c>
      <c r="E21" s="382">
        <v>11.87</v>
      </c>
      <c r="F21" s="373">
        <f>E21*D21</f>
        <v>11.87</v>
      </c>
    </row>
    <row r="22" spans="1:6">
      <c r="A22" s="418"/>
      <c r="B22" s="386" t="s">
        <v>301</v>
      </c>
      <c r="C22" s="387" t="s">
        <v>300</v>
      </c>
      <c r="D22" s="388">
        <v>2</v>
      </c>
      <c r="E22" s="382">
        <v>9.26</v>
      </c>
      <c r="F22" s="373">
        <f>E22*D22</f>
        <v>18.52</v>
      </c>
    </row>
    <row r="23" spans="1:6">
      <c r="A23" s="418"/>
      <c r="B23" s="378"/>
      <c r="C23" s="418"/>
      <c r="D23" s="420" t="s">
        <v>302</v>
      </c>
      <c r="E23" s="448"/>
      <c r="F23" s="452">
        <f>SUM(F21:F22)</f>
        <v>30.39</v>
      </c>
    </row>
    <row r="24" spans="1:6">
      <c r="A24" s="453"/>
      <c r="B24" s="378"/>
      <c r="C24" s="420" t="s">
        <v>303</v>
      </c>
      <c r="D24" s="418"/>
      <c r="E24" s="448"/>
      <c r="F24" s="422">
        <f>F23+F20</f>
        <v>281.09269999999998</v>
      </c>
    </row>
    <row r="25" spans="1:6">
      <c r="A25" s="418"/>
      <c r="B25" s="378"/>
      <c r="C25" s="418"/>
      <c r="D25" s="420" t="s">
        <v>304</v>
      </c>
      <c r="E25" s="448"/>
      <c r="F25" s="380">
        <f>F24</f>
        <v>281.09269999999998</v>
      </c>
    </row>
    <row r="26" spans="1:6">
      <c r="A26" s="368" t="s">
        <v>305</v>
      </c>
      <c r="B26" s="364" t="s">
        <v>149</v>
      </c>
      <c r="C26" s="365"/>
      <c r="D26" s="366"/>
      <c r="E26" s="367"/>
      <c r="F26" s="368" t="s">
        <v>290</v>
      </c>
    </row>
    <row r="27" spans="1:6" ht="36">
      <c r="A27" s="379"/>
      <c r="B27" s="369" t="s">
        <v>306</v>
      </c>
      <c r="C27" s="370" t="s">
        <v>153</v>
      </c>
      <c r="D27" s="371">
        <v>1</v>
      </c>
      <c r="E27" s="372">
        <v>507.81</v>
      </c>
      <c r="F27" s="373">
        <f>E27*D27</f>
        <v>507.81</v>
      </c>
    </row>
    <row r="28" spans="1:6">
      <c r="A28" s="454"/>
      <c r="B28" s="374"/>
      <c r="C28" s="374"/>
      <c r="D28" s="375" t="s">
        <v>298</v>
      </c>
      <c r="E28" s="376"/>
      <c r="F28" s="377">
        <f>F27</f>
        <v>507.81</v>
      </c>
    </row>
    <row r="29" spans="1:6">
      <c r="A29" s="454"/>
      <c r="B29" s="378"/>
      <c r="C29" s="374"/>
      <c r="D29" s="379" t="s">
        <v>304</v>
      </c>
      <c r="E29" s="376"/>
      <c r="F29" s="380">
        <f>F28</f>
        <v>507.81</v>
      </c>
    </row>
    <row r="30" spans="1:6" ht="24">
      <c r="A30" s="368" t="s">
        <v>307</v>
      </c>
      <c r="B30" s="364" t="s">
        <v>65</v>
      </c>
      <c r="C30" s="401"/>
      <c r="D30" s="401"/>
      <c r="E30" s="455"/>
      <c r="F30" s="368" t="s">
        <v>290</v>
      </c>
    </row>
    <row r="31" spans="1:6" ht="36">
      <c r="A31" s="418"/>
      <c r="B31" s="369" t="s">
        <v>308</v>
      </c>
      <c r="C31" s="370" t="s">
        <v>309</v>
      </c>
      <c r="D31" s="381">
        <v>1.8600000000000001E-3</v>
      </c>
      <c r="E31" s="382">
        <v>147.24</v>
      </c>
      <c r="F31" s="373">
        <f t="shared" ref="F31" si="1">E31*D31</f>
        <v>0.27386640000000001</v>
      </c>
    </row>
    <row r="32" spans="1:6">
      <c r="A32" s="418"/>
      <c r="B32" s="374"/>
      <c r="C32" s="370"/>
      <c r="D32" s="383" t="s">
        <v>298</v>
      </c>
      <c r="E32" s="384"/>
      <c r="F32" s="385">
        <f>SUM(F31)</f>
        <v>0.27386640000000001</v>
      </c>
    </row>
    <row r="33" spans="1:6">
      <c r="A33" s="418"/>
      <c r="B33" s="386" t="s">
        <v>301</v>
      </c>
      <c r="C33" s="387" t="s">
        <v>300</v>
      </c>
      <c r="D33" s="388">
        <v>0.02</v>
      </c>
      <c r="E33" s="382">
        <v>9.26</v>
      </c>
      <c r="F33" s="373">
        <f>E33*D33</f>
        <v>0.1852</v>
      </c>
    </row>
    <row r="34" spans="1:6">
      <c r="A34" s="418"/>
      <c r="B34" s="378"/>
      <c r="C34" s="418"/>
      <c r="D34" s="420" t="s">
        <v>302</v>
      </c>
      <c r="E34" s="376"/>
      <c r="F34" s="452">
        <f>SUM(F33)</f>
        <v>0.1852</v>
      </c>
    </row>
    <row r="35" spans="1:6">
      <c r="A35" s="418"/>
      <c r="B35" s="378"/>
      <c r="C35" s="420" t="s">
        <v>303</v>
      </c>
      <c r="D35" s="418"/>
      <c r="E35" s="376"/>
      <c r="F35" s="422">
        <f>F32+F34</f>
        <v>0.45906639999999999</v>
      </c>
    </row>
    <row r="36" spans="1:6">
      <c r="A36" s="418"/>
      <c r="B36" s="378"/>
      <c r="C36" s="418"/>
      <c r="D36" s="420" t="s">
        <v>304</v>
      </c>
      <c r="E36" s="376"/>
      <c r="F36" s="380">
        <f>F35</f>
        <v>0.45906639999999999</v>
      </c>
    </row>
    <row r="37" spans="1:6" ht="36">
      <c r="A37" s="368" t="s">
        <v>559</v>
      </c>
      <c r="B37" s="364" t="s">
        <v>465</v>
      </c>
      <c r="C37" s="401"/>
      <c r="D37" s="401"/>
      <c r="E37" s="367"/>
      <c r="F37" s="368" t="s">
        <v>90</v>
      </c>
    </row>
    <row r="38" spans="1:6" ht="51.75" customHeight="1">
      <c r="A38" s="418"/>
      <c r="B38" s="386" t="s">
        <v>310</v>
      </c>
      <c r="C38" s="389" t="s">
        <v>300</v>
      </c>
      <c r="D38" s="390">
        <v>3.27E-2</v>
      </c>
      <c r="E38" s="382">
        <v>127.54</v>
      </c>
      <c r="F38" s="373">
        <f>E38*D38</f>
        <v>4.1705579999999998</v>
      </c>
    </row>
    <row r="39" spans="1:6">
      <c r="A39" s="418"/>
      <c r="B39" s="378"/>
      <c r="C39" s="418"/>
      <c r="D39" s="420" t="s">
        <v>298</v>
      </c>
      <c r="E39" s="448"/>
      <c r="F39" s="422">
        <f>SUM(F38:F38)</f>
        <v>4.1705579999999998</v>
      </c>
    </row>
    <row r="40" spans="1:6">
      <c r="A40" s="418"/>
      <c r="B40" s="378"/>
      <c r="C40" s="418"/>
      <c r="D40" s="420" t="s">
        <v>304</v>
      </c>
      <c r="E40" s="448"/>
      <c r="F40" s="380">
        <f>F39</f>
        <v>4.1705579999999998</v>
      </c>
    </row>
    <row r="41" spans="1:6" ht="24">
      <c r="A41" s="368" t="s">
        <v>311</v>
      </c>
      <c r="B41" s="364" t="s">
        <v>312</v>
      </c>
      <c r="C41" s="365"/>
      <c r="D41" s="365"/>
      <c r="E41" s="367"/>
      <c r="F41" s="368" t="s">
        <v>297</v>
      </c>
    </row>
    <row r="42" spans="1:6">
      <c r="A42" s="418"/>
      <c r="B42" s="369" t="s">
        <v>313</v>
      </c>
      <c r="C42" s="417" t="s">
        <v>314</v>
      </c>
      <c r="D42" s="449">
        <v>2.5499999999999998</v>
      </c>
      <c r="E42" s="382">
        <v>9.26</v>
      </c>
      <c r="F42" s="373">
        <f t="shared" ref="F42" si="2">E42*D42</f>
        <v>23.613</v>
      </c>
    </row>
    <row r="43" spans="1:6">
      <c r="A43" s="418"/>
      <c r="B43" s="378"/>
      <c r="C43" s="418"/>
      <c r="D43" s="420" t="s">
        <v>302</v>
      </c>
      <c r="E43" s="376"/>
      <c r="F43" s="452">
        <f>SUM(F42:F42)</f>
        <v>23.613</v>
      </c>
    </row>
    <row r="44" spans="1:6">
      <c r="A44" s="418"/>
      <c r="B44" s="378"/>
      <c r="C44" s="420" t="s">
        <v>303</v>
      </c>
      <c r="D44" s="418"/>
      <c r="E44" s="376"/>
      <c r="F44" s="422">
        <f>F43</f>
        <v>23.613</v>
      </c>
    </row>
    <row r="45" spans="1:6">
      <c r="A45" s="418"/>
      <c r="B45" s="378"/>
      <c r="C45" s="418"/>
      <c r="D45" s="420" t="s">
        <v>304</v>
      </c>
      <c r="E45" s="376"/>
      <c r="F45" s="380">
        <f>F44</f>
        <v>23.613</v>
      </c>
    </row>
    <row r="46" spans="1:6" ht="48">
      <c r="A46" s="368" t="s">
        <v>534</v>
      </c>
      <c r="B46" s="364" t="s">
        <v>315</v>
      </c>
      <c r="C46" s="365"/>
      <c r="D46" s="365"/>
      <c r="E46" s="365"/>
      <c r="F46" s="368" t="s">
        <v>290</v>
      </c>
    </row>
    <row r="47" spans="1:6" ht="24">
      <c r="A47" s="396"/>
      <c r="B47" s="369" t="s">
        <v>316</v>
      </c>
      <c r="C47" s="370" t="s">
        <v>317</v>
      </c>
      <c r="D47" s="413">
        <v>54.4</v>
      </c>
      <c r="E47" s="391">
        <v>0.38</v>
      </c>
      <c r="F47" s="400">
        <f>E47*D47</f>
        <v>20.672000000000001</v>
      </c>
    </row>
    <row r="48" spans="1:6" ht="24">
      <c r="A48" s="396"/>
      <c r="B48" s="369" t="s">
        <v>318</v>
      </c>
      <c r="C48" s="370" t="s">
        <v>297</v>
      </c>
      <c r="D48" s="391">
        <v>1.38E-2</v>
      </c>
      <c r="E48" s="391">
        <v>399.44</v>
      </c>
      <c r="F48" s="400">
        <f>E48*D48</f>
        <v>5.5122720000000003</v>
      </c>
    </row>
    <row r="49" spans="1:6">
      <c r="A49" s="396"/>
      <c r="B49" s="404"/>
      <c r="C49" s="396"/>
      <c r="D49" s="405" t="s">
        <v>298</v>
      </c>
      <c r="E49" s="392"/>
      <c r="F49" s="407">
        <f>SUM(F47:F48)</f>
        <v>26.184272</v>
      </c>
    </row>
    <row r="50" spans="1:6">
      <c r="A50" s="396"/>
      <c r="B50" s="369" t="s">
        <v>319</v>
      </c>
      <c r="C50" s="370" t="s">
        <v>300</v>
      </c>
      <c r="D50" s="391">
        <v>1.1449</v>
      </c>
      <c r="E50" s="391">
        <v>11.87</v>
      </c>
      <c r="F50" s="400">
        <f>E50*D50</f>
        <v>13.589962999999999</v>
      </c>
    </row>
    <row r="51" spans="1:6">
      <c r="A51" s="396"/>
      <c r="B51" s="369" t="s">
        <v>301</v>
      </c>
      <c r="C51" s="370" t="s">
        <v>300</v>
      </c>
      <c r="D51" s="391">
        <v>0.88600000000000001</v>
      </c>
      <c r="E51" s="382">
        <v>9.26</v>
      </c>
      <c r="F51" s="400">
        <f t="shared" ref="F51" si="3">E51*D51</f>
        <v>8.2043599999999994</v>
      </c>
    </row>
    <row r="52" spans="1:6">
      <c r="A52" s="396"/>
      <c r="B52" s="404"/>
      <c r="C52" s="396"/>
      <c r="D52" s="405" t="s">
        <v>302</v>
      </c>
      <c r="E52" s="392"/>
      <c r="F52" s="456">
        <f>SUM(F50:F51)</f>
        <v>21.794322999999999</v>
      </c>
    </row>
    <row r="53" spans="1:6">
      <c r="A53" s="396"/>
      <c r="B53" s="404"/>
      <c r="C53" s="405" t="s">
        <v>303</v>
      </c>
      <c r="D53" s="396"/>
      <c r="E53" s="392"/>
      <c r="F53" s="407">
        <f>F52+F49</f>
        <v>47.978594999999999</v>
      </c>
    </row>
    <row r="54" spans="1:6">
      <c r="A54" s="396"/>
      <c r="B54" s="404"/>
      <c r="C54" s="396"/>
      <c r="D54" s="405" t="s">
        <v>304</v>
      </c>
      <c r="E54" s="392"/>
      <c r="F54" s="409">
        <f>F53</f>
        <v>47.978594999999999</v>
      </c>
    </row>
    <row r="55" spans="1:6">
      <c r="A55" s="396"/>
      <c r="B55" s="404"/>
      <c r="C55" s="396"/>
      <c r="D55" s="405"/>
      <c r="E55" s="392"/>
      <c r="F55" s="409"/>
    </row>
    <row r="56" spans="1:6" ht="69.75" customHeight="1">
      <c r="A56" s="368" t="s">
        <v>320</v>
      </c>
      <c r="B56" s="364" t="s">
        <v>523</v>
      </c>
      <c r="C56" s="365"/>
      <c r="D56" s="365"/>
      <c r="E56" s="365"/>
      <c r="F56" s="368" t="s">
        <v>290</v>
      </c>
    </row>
    <row r="57" spans="1:6" ht="48" customHeight="1">
      <c r="A57" s="396"/>
      <c r="B57" s="369" t="s">
        <v>434</v>
      </c>
      <c r="C57" s="370" t="s">
        <v>317</v>
      </c>
      <c r="D57" s="391">
        <v>13.354998999999999</v>
      </c>
      <c r="E57" s="391">
        <v>0.94</v>
      </c>
      <c r="F57" s="400">
        <f>E57*D57</f>
        <v>12.55369906</v>
      </c>
    </row>
    <row r="58" spans="1:6" ht="62.25" customHeight="1">
      <c r="A58" s="396"/>
      <c r="B58" s="369" t="s">
        <v>431</v>
      </c>
      <c r="C58" s="370" t="s">
        <v>60</v>
      </c>
      <c r="D58" s="391">
        <v>0.42498999999999998</v>
      </c>
      <c r="E58" s="391">
        <v>1.04</v>
      </c>
      <c r="F58" s="400">
        <f t="shared" ref="F58:F60" si="4">E58*D58</f>
        <v>0.44198959999999998</v>
      </c>
    </row>
    <row r="59" spans="1:6" ht="24.75" customHeight="1">
      <c r="A59" s="396"/>
      <c r="B59" s="369" t="s">
        <v>432</v>
      </c>
      <c r="C59" s="370" t="s">
        <v>433</v>
      </c>
      <c r="D59" s="395">
        <v>5.4400000000000004E-3</v>
      </c>
      <c r="E59" s="391">
        <v>47.84</v>
      </c>
      <c r="F59" s="400">
        <f t="shared" si="4"/>
        <v>0.26024960000000003</v>
      </c>
    </row>
    <row r="60" spans="1:6" ht="24">
      <c r="A60" s="396"/>
      <c r="B60" s="369" t="s">
        <v>430</v>
      </c>
      <c r="C60" s="370" t="s">
        <v>297</v>
      </c>
      <c r="D60" s="394">
        <v>1.04E-2</v>
      </c>
      <c r="E60" s="391">
        <v>311.37</v>
      </c>
      <c r="F60" s="400">
        <f t="shared" si="4"/>
        <v>3.238248</v>
      </c>
    </row>
    <row r="61" spans="1:6">
      <c r="A61" s="396"/>
      <c r="B61" s="404"/>
      <c r="C61" s="396"/>
      <c r="D61" s="405" t="s">
        <v>298</v>
      </c>
      <c r="E61" s="392"/>
      <c r="F61" s="407">
        <f>SUM(F57:F60)</f>
        <v>16.494186259999999</v>
      </c>
    </row>
    <row r="62" spans="1:6">
      <c r="A62" s="396"/>
      <c r="B62" s="369" t="s">
        <v>319</v>
      </c>
      <c r="C62" s="370" t="s">
        <v>300</v>
      </c>
      <c r="D62" s="391">
        <v>0.48</v>
      </c>
      <c r="E62" s="391">
        <v>11.87</v>
      </c>
      <c r="F62" s="400">
        <f>E62*D62</f>
        <v>5.6975999999999996</v>
      </c>
    </row>
    <row r="63" spans="1:6">
      <c r="A63" s="396"/>
      <c r="B63" s="369" t="s">
        <v>301</v>
      </c>
      <c r="C63" s="370" t="s">
        <v>300</v>
      </c>
      <c r="D63" s="391">
        <v>0.24</v>
      </c>
      <c r="E63" s="382">
        <v>9.26</v>
      </c>
      <c r="F63" s="400">
        <f t="shared" ref="F63" si="5">E63*D63</f>
        <v>2.2223999999999999</v>
      </c>
    </row>
    <row r="64" spans="1:6">
      <c r="A64" s="396"/>
      <c r="B64" s="404"/>
      <c r="C64" s="396"/>
      <c r="D64" s="405" t="s">
        <v>302</v>
      </c>
      <c r="E64" s="392"/>
      <c r="F64" s="456">
        <f>SUM(F62:F63)</f>
        <v>7.92</v>
      </c>
    </row>
    <row r="65" spans="1:6">
      <c r="A65" s="396"/>
      <c r="B65" s="404"/>
      <c r="C65" s="405" t="s">
        <v>303</v>
      </c>
      <c r="D65" s="396"/>
      <c r="E65" s="392"/>
      <c r="F65" s="407">
        <f>F64+F61</f>
        <v>24.414186260000001</v>
      </c>
    </row>
    <row r="66" spans="1:6">
      <c r="A66" s="396"/>
      <c r="B66" s="404"/>
      <c r="C66" s="396"/>
      <c r="D66" s="405" t="s">
        <v>304</v>
      </c>
      <c r="E66" s="392"/>
      <c r="F66" s="409">
        <f>F65</f>
        <v>24.414186260000001</v>
      </c>
    </row>
    <row r="67" spans="1:6" ht="24">
      <c r="A67" s="368" t="s">
        <v>322</v>
      </c>
      <c r="B67" s="364" t="s">
        <v>71</v>
      </c>
      <c r="C67" s="365"/>
      <c r="D67" s="365"/>
      <c r="E67" s="365"/>
      <c r="F67" s="368" t="s">
        <v>297</v>
      </c>
    </row>
    <row r="68" spans="1:6" ht="24">
      <c r="A68" s="396"/>
      <c r="B68" s="369" t="s">
        <v>296</v>
      </c>
      <c r="C68" s="370" t="s">
        <v>297</v>
      </c>
      <c r="D68" s="391">
        <v>4.999E-2</v>
      </c>
      <c r="E68" s="391">
        <v>209.05</v>
      </c>
      <c r="F68" s="400">
        <f>E68*D68</f>
        <v>10.450409500000001</v>
      </c>
    </row>
    <row r="69" spans="1:6">
      <c r="A69" s="396"/>
      <c r="B69" s="404"/>
      <c r="C69" s="396"/>
      <c r="D69" s="405" t="s">
        <v>298</v>
      </c>
      <c r="E69" s="392"/>
      <c r="F69" s="407">
        <f>SUM(F68:F68)</f>
        <v>10.450409500000001</v>
      </c>
    </row>
    <row r="70" spans="1:6">
      <c r="A70" s="396"/>
      <c r="B70" s="369" t="s">
        <v>319</v>
      </c>
      <c r="C70" s="370" t="s">
        <v>300</v>
      </c>
      <c r="D70" s="391">
        <v>0.35</v>
      </c>
      <c r="E70" s="391">
        <v>11.87</v>
      </c>
      <c r="F70" s="400">
        <f>E70*D70</f>
        <v>4.1544999999999996</v>
      </c>
    </row>
    <row r="71" spans="1:6">
      <c r="A71" s="396"/>
      <c r="B71" s="369" t="s">
        <v>301</v>
      </c>
      <c r="C71" s="370" t="s">
        <v>300</v>
      </c>
      <c r="D71" s="391">
        <v>0.7</v>
      </c>
      <c r="E71" s="382">
        <v>9.26</v>
      </c>
      <c r="F71" s="400">
        <f t="shared" ref="F71" si="6">E71*D71</f>
        <v>6.4819999999999993</v>
      </c>
    </row>
    <row r="72" spans="1:6">
      <c r="A72" s="396"/>
      <c r="B72" s="404"/>
      <c r="C72" s="396"/>
      <c r="D72" s="405" t="s">
        <v>302</v>
      </c>
      <c r="E72" s="392"/>
      <c r="F72" s="456">
        <f>SUM(F70:F71)</f>
        <v>10.636499999999998</v>
      </c>
    </row>
    <row r="73" spans="1:6">
      <c r="A73" s="396"/>
      <c r="B73" s="404"/>
      <c r="C73" s="405" t="s">
        <v>303</v>
      </c>
      <c r="D73" s="396"/>
      <c r="E73" s="392"/>
      <c r="F73" s="407">
        <f>F72+F69</f>
        <v>21.086909499999997</v>
      </c>
    </row>
    <row r="74" spans="1:6">
      <c r="A74" s="396"/>
      <c r="B74" s="404"/>
      <c r="C74" s="396"/>
      <c r="D74" s="405" t="s">
        <v>304</v>
      </c>
      <c r="E74" s="392"/>
      <c r="F74" s="409">
        <f>F73</f>
        <v>21.086909499999997</v>
      </c>
    </row>
    <row r="75" spans="1:6" ht="24">
      <c r="A75" s="368" t="s">
        <v>323</v>
      </c>
      <c r="B75" s="364" t="s">
        <v>339</v>
      </c>
      <c r="C75" s="401"/>
      <c r="D75" s="401"/>
      <c r="E75" s="401"/>
      <c r="F75" s="368" t="s">
        <v>290</v>
      </c>
    </row>
    <row r="76" spans="1:6" ht="24">
      <c r="A76" s="396"/>
      <c r="B76" s="369" t="s">
        <v>336</v>
      </c>
      <c r="C76" s="370" t="s">
        <v>297</v>
      </c>
      <c r="D76" s="395">
        <v>6.4989999999999996E-3</v>
      </c>
      <c r="E76" s="391">
        <v>356.8</v>
      </c>
      <c r="F76" s="400">
        <f>E76*D76</f>
        <v>2.3188431999999999</v>
      </c>
    </row>
    <row r="77" spans="1:6">
      <c r="A77" s="379"/>
      <c r="B77" s="457"/>
      <c r="C77" s="396"/>
      <c r="D77" s="383" t="s">
        <v>298</v>
      </c>
      <c r="E77" s="396"/>
      <c r="F77" s="456">
        <f>SUM(F75:F76)</f>
        <v>2.3188431999999999</v>
      </c>
    </row>
    <row r="78" spans="1:6">
      <c r="A78" s="396"/>
      <c r="B78" s="369" t="s">
        <v>319</v>
      </c>
      <c r="C78" s="370" t="s">
        <v>300</v>
      </c>
      <c r="D78" s="391">
        <v>0.33499899999999999</v>
      </c>
      <c r="E78" s="391">
        <v>11.87</v>
      </c>
      <c r="F78" s="400">
        <f>E78*D78</f>
        <v>3.9764381299999996</v>
      </c>
    </row>
    <row r="79" spans="1:6">
      <c r="A79" s="396"/>
      <c r="B79" s="369" t="s">
        <v>301</v>
      </c>
      <c r="C79" s="370" t="s">
        <v>300</v>
      </c>
      <c r="D79" s="411">
        <v>0.505</v>
      </c>
      <c r="E79" s="391">
        <v>9.26</v>
      </c>
      <c r="F79" s="400">
        <f t="shared" ref="F79" si="7">E79*D79</f>
        <v>4.6763000000000003</v>
      </c>
    </row>
    <row r="80" spans="1:6">
      <c r="A80" s="396"/>
      <c r="B80" s="404"/>
      <c r="C80" s="396"/>
      <c r="D80" s="405" t="s">
        <v>302</v>
      </c>
      <c r="E80" s="396"/>
      <c r="F80" s="456">
        <f>SUM(F78:F79)</f>
        <v>8.6527381299999995</v>
      </c>
    </row>
    <row r="81" spans="1:6">
      <c r="A81" s="396"/>
      <c r="B81" s="404"/>
      <c r="C81" s="405" t="s">
        <v>303</v>
      </c>
      <c r="D81" s="396"/>
      <c r="E81" s="396"/>
      <c r="F81" s="407">
        <f>F80+F77</f>
        <v>10.971581329999999</v>
      </c>
    </row>
    <row r="82" spans="1:6">
      <c r="A82" s="396"/>
      <c r="B82" s="404"/>
      <c r="C82" s="396"/>
      <c r="D82" s="405" t="s">
        <v>304</v>
      </c>
      <c r="E82" s="396"/>
      <c r="F82" s="409">
        <f>F81</f>
        <v>10.971581329999999</v>
      </c>
    </row>
    <row r="83" spans="1:6">
      <c r="A83" s="368" t="s">
        <v>324</v>
      </c>
      <c r="B83" s="364" t="s">
        <v>410</v>
      </c>
      <c r="C83" s="401"/>
      <c r="D83" s="401"/>
      <c r="E83" s="365"/>
      <c r="F83" s="368" t="s">
        <v>290</v>
      </c>
    </row>
    <row r="84" spans="1:6">
      <c r="A84" s="396"/>
      <c r="B84" s="369" t="s">
        <v>333</v>
      </c>
      <c r="C84" s="370" t="s">
        <v>297</v>
      </c>
      <c r="D84" s="394">
        <v>6.0999999999999999E-2</v>
      </c>
      <c r="E84" s="391">
        <v>52.8</v>
      </c>
      <c r="F84" s="400">
        <f>E84*D84</f>
        <v>3.2207999999999997</v>
      </c>
    </row>
    <row r="85" spans="1:6">
      <c r="A85" s="396"/>
      <c r="B85" s="369" t="s">
        <v>331</v>
      </c>
      <c r="C85" s="370" t="s">
        <v>295</v>
      </c>
      <c r="D85" s="394">
        <v>4.83</v>
      </c>
      <c r="E85" s="391">
        <v>0.5</v>
      </c>
      <c r="F85" s="400">
        <f t="shared" ref="F85:F86" si="8">E85*D85</f>
        <v>2.415</v>
      </c>
    </row>
    <row r="86" spans="1:6">
      <c r="A86" s="396"/>
      <c r="B86" s="369" t="s">
        <v>411</v>
      </c>
      <c r="C86" s="370" t="s">
        <v>290</v>
      </c>
      <c r="D86" s="394">
        <v>1</v>
      </c>
      <c r="E86" s="391">
        <v>300</v>
      </c>
      <c r="F86" s="400">
        <f t="shared" si="8"/>
        <v>300</v>
      </c>
    </row>
    <row r="87" spans="1:6">
      <c r="A87" s="396"/>
      <c r="B87" s="458"/>
      <c r="C87" s="392"/>
      <c r="D87" s="383" t="s">
        <v>298</v>
      </c>
      <c r="E87" s="392"/>
      <c r="F87" s="456">
        <f>SUM(F84:F86)</f>
        <v>305.63580000000002</v>
      </c>
    </row>
    <row r="88" spans="1:6">
      <c r="A88" s="396"/>
      <c r="B88" s="369" t="s">
        <v>319</v>
      </c>
      <c r="C88" s="370" t="s">
        <v>300</v>
      </c>
      <c r="D88" s="391">
        <v>1.5</v>
      </c>
      <c r="E88" s="391">
        <v>11.87</v>
      </c>
      <c r="F88" s="400">
        <f>E88*D88</f>
        <v>17.805</v>
      </c>
    </row>
    <row r="89" spans="1:6">
      <c r="A89" s="396"/>
      <c r="B89" s="369" t="s">
        <v>301</v>
      </c>
      <c r="C89" s="370" t="s">
        <v>300</v>
      </c>
      <c r="D89" s="391">
        <v>1.5</v>
      </c>
      <c r="E89" s="391">
        <v>9.26</v>
      </c>
      <c r="F89" s="400">
        <f t="shared" ref="F89" si="9">E89*D89</f>
        <v>13.89</v>
      </c>
    </row>
    <row r="90" spans="1:6">
      <c r="A90" s="396"/>
      <c r="B90" s="404"/>
      <c r="C90" s="396"/>
      <c r="D90" s="405" t="s">
        <v>302</v>
      </c>
      <c r="E90" s="396"/>
      <c r="F90" s="456">
        <f>SUM(F88:F89)</f>
        <v>31.695</v>
      </c>
    </row>
    <row r="91" spans="1:6">
      <c r="A91" s="396"/>
      <c r="B91" s="404"/>
      <c r="C91" s="405" t="s">
        <v>303</v>
      </c>
      <c r="D91" s="396"/>
      <c r="E91" s="396"/>
      <c r="F91" s="407">
        <f>F90+F87</f>
        <v>337.33080000000001</v>
      </c>
    </row>
    <row r="92" spans="1:6">
      <c r="A92" s="396"/>
      <c r="B92" s="404"/>
      <c r="C92" s="396"/>
      <c r="D92" s="405" t="s">
        <v>304</v>
      </c>
      <c r="E92" s="396"/>
      <c r="F92" s="409">
        <f>F91</f>
        <v>337.33080000000001</v>
      </c>
    </row>
    <row r="93" spans="1:6">
      <c r="A93" s="368" t="s">
        <v>413</v>
      </c>
      <c r="B93" s="364" t="s">
        <v>535</v>
      </c>
      <c r="C93" s="365"/>
      <c r="D93" s="365"/>
      <c r="E93" s="365"/>
      <c r="F93" s="368" t="s">
        <v>290</v>
      </c>
    </row>
    <row r="94" spans="1:6">
      <c r="A94" s="396"/>
      <c r="B94" s="369" t="s">
        <v>524</v>
      </c>
      <c r="C94" s="370" t="s">
        <v>525</v>
      </c>
      <c r="D94" s="395">
        <v>4.7399999999999998E-2</v>
      </c>
      <c r="E94" s="391">
        <v>48.89</v>
      </c>
      <c r="F94" s="400">
        <f>E94*D94</f>
        <v>2.3173859999999999</v>
      </c>
    </row>
    <row r="95" spans="1:6">
      <c r="A95" s="396"/>
      <c r="B95" s="369" t="s">
        <v>412</v>
      </c>
      <c r="C95" s="370" t="s">
        <v>317</v>
      </c>
      <c r="D95" s="391">
        <v>4.3999999999999997E-2</v>
      </c>
      <c r="E95" s="391">
        <v>0.75</v>
      </c>
      <c r="F95" s="400">
        <f t="shared" ref="F95:F96" si="10">E95*D95</f>
        <v>3.3000000000000002E-2</v>
      </c>
    </row>
    <row r="96" spans="1:6">
      <c r="A96" s="396"/>
      <c r="B96" s="369" t="s">
        <v>326</v>
      </c>
      <c r="C96" s="370" t="s">
        <v>325</v>
      </c>
      <c r="D96" s="391">
        <v>5.0999999999999997E-2</v>
      </c>
      <c r="E96" s="391">
        <v>12.22</v>
      </c>
      <c r="F96" s="400">
        <f t="shared" si="10"/>
        <v>0.62322</v>
      </c>
    </row>
    <row r="97" spans="1:6">
      <c r="A97" s="396"/>
      <c r="B97" s="404"/>
      <c r="C97" s="396"/>
      <c r="D97" s="405" t="s">
        <v>298</v>
      </c>
      <c r="E97" s="396"/>
      <c r="F97" s="407">
        <f>SUM(F94:F96)</f>
        <v>2.9736059999999997</v>
      </c>
    </row>
    <row r="98" spans="1:6">
      <c r="A98" s="396"/>
      <c r="B98" s="369" t="s">
        <v>327</v>
      </c>
      <c r="C98" s="370" t="s">
        <v>300</v>
      </c>
      <c r="D98" s="411">
        <v>0.42</v>
      </c>
      <c r="E98" s="391">
        <v>11.87</v>
      </c>
      <c r="F98" s="400">
        <f>E98*D98</f>
        <v>4.9853999999999994</v>
      </c>
    </row>
    <row r="99" spans="1:6">
      <c r="A99" s="396"/>
      <c r="B99" s="369" t="s">
        <v>301</v>
      </c>
      <c r="C99" s="370" t="s">
        <v>300</v>
      </c>
      <c r="D99" s="391">
        <v>0.35</v>
      </c>
      <c r="E99" s="391">
        <v>9.26</v>
      </c>
      <c r="F99" s="400">
        <f t="shared" ref="F99" si="11">E99*D99</f>
        <v>3.2409999999999997</v>
      </c>
    </row>
    <row r="100" spans="1:6">
      <c r="A100" s="396"/>
      <c r="B100" s="404"/>
      <c r="C100" s="396"/>
      <c r="D100" s="405" t="s">
        <v>302</v>
      </c>
      <c r="E100" s="392"/>
      <c r="F100" s="456">
        <f>SUM(F98:F99)</f>
        <v>8.2263999999999982</v>
      </c>
    </row>
    <row r="101" spans="1:6">
      <c r="A101" s="396"/>
      <c r="B101" s="404"/>
      <c r="C101" s="405" t="s">
        <v>303</v>
      </c>
      <c r="D101" s="396"/>
      <c r="E101" s="392"/>
      <c r="F101" s="407">
        <f>F100+F97</f>
        <v>11.200005999999998</v>
      </c>
    </row>
    <row r="102" spans="1:6">
      <c r="A102" s="396"/>
      <c r="B102" s="404"/>
      <c r="C102" s="396"/>
      <c r="D102" s="405" t="s">
        <v>304</v>
      </c>
      <c r="E102" s="392"/>
      <c r="F102" s="409">
        <f>F101</f>
        <v>11.200005999999998</v>
      </c>
    </row>
    <row r="103" spans="1:6">
      <c r="A103" s="368" t="s">
        <v>414</v>
      </c>
      <c r="B103" s="364" t="s">
        <v>70</v>
      </c>
      <c r="C103" s="401"/>
      <c r="D103" s="401"/>
      <c r="E103" s="365"/>
      <c r="F103" s="368" t="s">
        <v>297</v>
      </c>
    </row>
    <row r="104" spans="1:6" ht="36">
      <c r="A104" s="396"/>
      <c r="B104" s="369" t="s">
        <v>321</v>
      </c>
      <c r="C104" s="370" t="s">
        <v>300</v>
      </c>
      <c r="D104" s="411">
        <v>0.34</v>
      </c>
      <c r="E104" s="391">
        <v>2.48</v>
      </c>
      <c r="F104" s="400">
        <f>E104*D104</f>
        <v>0.84320000000000006</v>
      </c>
    </row>
    <row r="105" spans="1:6">
      <c r="A105" s="396"/>
      <c r="B105" s="404"/>
      <c r="C105" s="396"/>
      <c r="D105" s="383" t="s">
        <v>298</v>
      </c>
      <c r="E105" s="392"/>
      <c r="F105" s="407">
        <f>SUM(F104:F104)</f>
        <v>0.84320000000000006</v>
      </c>
    </row>
    <row r="106" spans="1:6">
      <c r="A106" s="396"/>
      <c r="B106" s="369" t="s">
        <v>301</v>
      </c>
      <c r="C106" s="370" t="s">
        <v>300</v>
      </c>
      <c r="D106" s="391">
        <v>0.48499999999999999</v>
      </c>
      <c r="E106" s="382">
        <v>9.26</v>
      </c>
      <c r="F106" s="400">
        <f t="shared" ref="F106" si="12">E106*D106</f>
        <v>4.4910999999999994</v>
      </c>
    </row>
    <row r="107" spans="1:6">
      <c r="A107" s="396"/>
      <c r="B107" s="404"/>
      <c r="C107" s="396"/>
      <c r="D107" s="405" t="s">
        <v>302</v>
      </c>
      <c r="E107" s="392"/>
      <c r="F107" s="456">
        <f>SUM(F106:F106)</f>
        <v>4.4910999999999994</v>
      </c>
    </row>
    <row r="108" spans="1:6">
      <c r="A108" s="396"/>
      <c r="B108" s="404"/>
      <c r="C108" s="405" t="s">
        <v>303</v>
      </c>
      <c r="D108" s="396"/>
      <c r="E108" s="392"/>
      <c r="F108" s="407">
        <f>F107+F105</f>
        <v>5.3342999999999998</v>
      </c>
    </row>
    <row r="109" spans="1:6">
      <c r="A109" s="396"/>
      <c r="B109" s="404"/>
      <c r="C109" s="396"/>
      <c r="D109" s="405" t="s">
        <v>304</v>
      </c>
      <c r="E109" s="392"/>
      <c r="F109" s="409">
        <f>F108</f>
        <v>5.3342999999999998</v>
      </c>
    </row>
    <row r="110" spans="1:6" ht="60">
      <c r="A110" s="368" t="s">
        <v>415</v>
      </c>
      <c r="B110" s="364" t="s">
        <v>526</v>
      </c>
      <c r="C110" s="365"/>
      <c r="D110" s="365"/>
      <c r="E110" s="365"/>
      <c r="F110" s="368" t="s">
        <v>290</v>
      </c>
    </row>
    <row r="111" spans="1:6">
      <c r="A111" s="396"/>
      <c r="B111" s="459" t="s">
        <v>527</v>
      </c>
      <c r="C111" s="370" t="s">
        <v>297</v>
      </c>
      <c r="D111" s="394">
        <v>1.9E-2</v>
      </c>
      <c r="E111" s="391">
        <v>27.78</v>
      </c>
      <c r="F111" s="400">
        <f>E111*D111</f>
        <v>0.52781999999999996</v>
      </c>
    </row>
    <row r="112" spans="1:6" ht="24">
      <c r="A112" s="396"/>
      <c r="B112" s="459" t="s">
        <v>529</v>
      </c>
      <c r="C112" s="370" t="s">
        <v>60</v>
      </c>
      <c r="D112" s="394">
        <v>1</v>
      </c>
      <c r="E112" s="391">
        <v>22.44</v>
      </c>
      <c r="F112" s="400">
        <f t="shared" ref="F112:F113" si="13">E112*D112</f>
        <v>22.44</v>
      </c>
    </row>
    <row r="113" spans="1:6" ht="36">
      <c r="A113" s="396"/>
      <c r="B113" s="459" t="s">
        <v>528</v>
      </c>
      <c r="C113" s="370" t="s">
        <v>59</v>
      </c>
      <c r="D113" s="394">
        <v>1.2999999999999999E-3</v>
      </c>
      <c r="E113" s="391">
        <v>318.58</v>
      </c>
      <c r="F113" s="400">
        <f t="shared" si="13"/>
        <v>0.41415399999999997</v>
      </c>
    </row>
    <row r="114" spans="1:6">
      <c r="A114" s="396"/>
      <c r="B114" s="404"/>
      <c r="C114" s="396"/>
      <c r="D114" s="383" t="s">
        <v>298</v>
      </c>
      <c r="E114" s="396"/>
      <c r="F114" s="407">
        <f>SUM(F111:F113)</f>
        <v>23.381974</v>
      </c>
    </row>
    <row r="115" spans="1:6">
      <c r="A115" s="396"/>
      <c r="B115" s="369" t="s">
        <v>319</v>
      </c>
      <c r="C115" s="370" t="s">
        <v>300</v>
      </c>
      <c r="D115" s="393">
        <v>0.25</v>
      </c>
      <c r="E115" s="391">
        <v>11.87</v>
      </c>
      <c r="F115" s="400">
        <f>E115*D115</f>
        <v>2.9674999999999998</v>
      </c>
    </row>
    <row r="116" spans="1:6">
      <c r="A116" s="396"/>
      <c r="B116" s="369" t="s">
        <v>301</v>
      </c>
      <c r="C116" s="370" t="s">
        <v>300</v>
      </c>
      <c r="D116" s="398">
        <v>1.135</v>
      </c>
      <c r="E116" s="391">
        <v>9.26</v>
      </c>
      <c r="F116" s="400">
        <f t="shared" ref="F116" si="14">E116*D116</f>
        <v>10.5101</v>
      </c>
    </row>
    <row r="117" spans="1:6">
      <c r="A117" s="396"/>
      <c r="B117" s="404"/>
      <c r="C117" s="396"/>
      <c r="D117" s="405" t="s">
        <v>302</v>
      </c>
      <c r="E117" s="396"/>
      <c r="F117" s="456">
        <f>SUM(F115:F116)</f>
        <v>13.477599999999999</v>
      </c>
    </row>
    <row r="118" spans="1:6">
      <c r="A118" s="396"/>
      <c r="B118" s="404"/>
      <c r="C118" s="405" t="s">
        <v>303</v>
      </c>
      <c r="D118" s="396"/>
      <c r="E118" s="396"/>
      <c r="F118" s="407">
        <f>F117+F114</f>
        <v>36.859573999999995</v>
      </c>
    </row>
    <row r="119" spans="1:6">
      <c r="A119" s="396"/>
      <c r="B119" s="404"/>
      <c r="C119" s="396"/>
      <c r="D119" s="405" t="s">
        <v>304</v>
      </c>
      <c r="E119" s="396"/>
      <c r="F119" s="380">
        <f>F118</f>
        <v>36.859573999999995</v>
      </c>
    </row>
    <row r="120" spans="1:6" ht="24">
      <c r="A120" s="368" t="s">
        <v>417</v>
      </c>
      <c r="B120" s="364" t="s">
        <v>418</v>
      </c>
      <c r="C120" s="365"/>
      <c r="D120" s="366"/>
      <c r="E120" s="365"/>
      <c r="F120" s="368" t="s">
        <v>330</v>
      </c>
    </row>
    <row r="121" spans="1:6" ht="24">
      <c r="A121" s="460"/>
      <c r="B121" s="369" t="s">
        <v>419</v>
      </c>
      <c r="C121" s="370" t="s">
        <v>330</v>
      </c>
      <c r="D121" s="395">
        <v>0.83649998999999997</v>
      </c>
      <c r="E121" s="391">
        <v>54.38</v>
      </c>
      <c r="F121" s="400">
        <f t="shared" ref="F121:F124" si="15">E121*D121</f>
        <v>45.4888694562</v>
      </c>
    </row>
    <row r="122" spans="1:6">
      <c r="A122" s="460"/>
      <c r="B122" s="369" t="s">
        <v>353</v>
      </c>
      <c r="C122" s="370" t="s">
        <v>295</v>
      </c>
      <c r="D122" s="413">
        <v>320.49999000000003</v>
      </c>
      <c r="E122" s="391">
        <v>0.5</v>
      </c>
      <c r="F122" s="400">
        <f t="shared" si="15"/>
        <v>160.24999500000001</v>
      </c>
    </row>
    <row r="123" spans="1:6">
      <c r="A123" s="460"/>
      <c r="B123" s="369" t="s">
        <v>352</v>
      </c>
      <c r="C123" s="370" t="s">
        <v>330</v>
      </c>
      <c r="D123" s="394">
        <v>0.89045989999999997</v>
      </c>
      <c r="E123" s="391">
        <v>50</v>
      </c>
      <c r="F123" s="400">
        <f t="shared" si="15"/>
        <v>44.522995000000002</v>
      </c>
    </row>
    <row r="124" spans="1:6" ht="36">
      <c r="A124" s="460"/>
      <c r="B124" s="369" t="s">
        <v>429</v>
      </c>
      <c r="C124" s="370" t="s">
        <v>314</v>
      </c>
      <c r="D124" s="394">
        <v>1.8336499999</v>
      </c>
      <c r="E124" s="391">
        <v>3.6</v>
      </c>
      <c r="F124" s="400">
        <f t="shared" si="15"/>
        <v>6.60113999964</v>
      </c>
    </row>
    <row r="125" spans="1:6">
      <c r="A125" s="460"/>
      <c r="B125" s="404"/>
      <c r="C125" s="396"/>
      <c r="D125" s="383" t="s">
        <v>298</v>
      </c>
      <c r="E125" s="396"/>
      <c r="F125" s="385">
        <f>SUM(F121:F124)</f>
        <v>256.86299945584005</v>
      </c>
    </row>
    <row r="126" spans="1:6" ht="24">
      <c r="A126" s="460"/>
      <c r="B126" s="369" t="s">
        <v>420</v>
      </c>
      <c r="C126" s="370" t="s">
        <v>300</v>
      </c>
      <c r="D126" s="394">
        <v>1.8336599</v>
      </c>
      <c r="E126" s="391">
        <v>11.87</v>
      </c>
      <c r="F126" s="400">
        <f>E126*D126</f>
        <v>21.765543012999998</v>
      </c>
    </row>
    <row r="127" spans="1:6">
      <c r="A127" s="460"/>
      <c r="B127" s="369" t="s">
        <v>301</v>
      </c>
      <c r="C127" s="370" t="s">
        <v>300</v>
      </c>
      <c r="D127" s="394">
        <v>3.2378</v>
      </c>
      <c r="E127" s="391">
        <v>9.26</v>
      </c>
      <c r="F127" s="400">
        <f>E127*D127</f>
        <v>29.982028</v>
      </c>
    </row>
    <row r="128" spans="1:6">
      <c r="A128" s="460"/>
      <c r="B128" s="404"/>
      <c r="C128" s="396"/>
      <c r="D128" s="383" t="s">
        <v>302</v>
      </c>
      <c r="E128" s="396"/>
      <c r="F128" s="399">
        <f>SUM(F126:F127)</f>
        <v>51.747571012999998</v>
      </c>
    </row>
    <row r="129" spans="1:6">
      <c r="A129" s="460"/>
      <c r="B129" s="404"/>
      <c r="C129" s="405" t="s">
        <v>303</v>
      </c>
      <c r="D129" s="406"/>
      <c r="E129" s="396"/>
      <c r="F129" s="407">
        <v>330.95</v>
      </c>
    </row>
    <row r="130" spans="1:6">
      <c r="A130" s="460"/>
      <c r="B130" s="404"/>
      <c r="C130" s="396"/>
      <c r="D130" s="408" t="s">
        <v>304</v>
      </c>
      <c r="E130" s="396"/>
      <c r="F130" s="409">
        <f>F129</f>
        <v>330.95</v>
      </c>
    </row>
    <row r="131" spans="1:6" ht="48">
      <c r="A131" s="368" t="s">
        <v>421</v>
      </c>
      <c r="B131" s="364" t="s">
        <v>121</v>
      </c>
      <c r="C131" s="365"/>
      <c r="D131" s="366"/>
      <c r="E131" s="365"/>
      <c r="F131" s="368" t="s">
        <v>360</v>
      </c>
    </row>
    <row r="132" spans="1:6">
      <c r="A132" s="460"/>
      <c r="B132" s="369" t="s">
        <v>340</v>
      </c>
      <c r="C132" s="370" t="s">
        <v>295</v>
      </c>
      <c r="D132" s="391">
        <v>7.3999999999999996E-2</v>
      </c>
      <c r="E132" s="391">
        <v>10.9</v>
      </c>
      <c r="F132" s="400">
        <f t="shared" ref="F132:F135" si="16">E132*D132</f>
        <v>0.80659999999999998</v>
      </c>
    </row>
    <row r="133" spans="1:6">
      <c r="A133" s="460"/>
      <c r="B133" s="369" t="s">
        <v>423</v>
      </c>
      <c r="C133" s="370" t="s">
        <v>295</v>
      </c>
      <c r="D133" s="391">
        <v>0.15498999999999999</v>
      </c>
      <c r="E133" s="391">
        <v>9.42</v>
      </c>
      <c r="F133" s="400">
        <f t="shared" si="16"/>
        <v>1.4600057999999998</v>
      </c>
    </row>
    <row r="134" spans="1:6" ht="24">
      <c r="A134" s="460"/>
      <c r="B134" s="369" t="s">
        <v>424</v>
      </c>
      <c r="C134" s="370" t="s">
        <v>290</v>
      </c>
      <c r="D134" s="391">
        <v>1.054999</v>
      </c>
      <c r="E134" s="391">
        <v>15.89</v>
      </c>
      <c r="F134" s="400">
        <f t="shared" si="16"/>
        <v>16.763934110000001</v>
      </c>
    </row>
    <row r="135" spans="1:6" ht="24">
      <c r="A135" s="460"/>
      <c r="B135" s="369" t="s">
        <v>425</v>
      </c>
      <c r="C135" s="370" t="s">
        <v>60</v>
      </c>
      <c r="D135" s="394">
        <v>1.6849999</v>
      </c>
      <c r="E135" s="391">
        <v>31.92</v>
      </c>
      <c r="F135" s="400">
        <f t="shared" si="16"/>
        <v>53.785196808000002</v>
      </c>
    </row>
    <row r="136" spans="1:6">
      <c r="A136" s="460"/>
      <c r="B136" s="404"/>
      <c r="C136" s="396"/>
      <c r="D136" s="383" t="s">
        <v>298</v>
      </c>
      <c r="E136" s="396"/>
      <c r="F136" s="385">
        <f>SUM(F132:F135)</f>
        <v>72.815736718000011</v>
      </c>
    </row>
    <row r="137" spans="1:6" ht="27" customHeight="1">
      <c r="A137" s="460"/>
      <c r="B137" s="369" t="s">
        <v>426</v>
      </c>
      <c r="C137" s="370" t="s">
        <v>300</v>
      </c>
      <c r="D137" s="391">
        <v>1</v>
      </c>
      <c r="E137" s="391">
        <v>11.87</v>
      </c>
      <c r="F137" s="400">
        <f>E137*D137</f>
        <v>11.87</v>
      </c>
    </row>
    <row r="138" spans="1:6" ht="24">
      <c r="A138" s="460"/>
      <c r="B138" s="369" t="s">
        <v>427</v>
      </c>
      <c r="C138" s="370" t="s">
        <v>300</v>
      </c>
      <c r="D138" s="411">
        <v>0.51649999999999996</v>
      </c>
      <c r="E138" s="391">
        <v>9.26</v>
      </c>
      <c r="F138" s="400">
        <f>E138*D138</f>
        <v>4.7827899999999994</v>
      </c>
    </row>
    <row r="139" spans="1:6">
      <c r="A139" s="460"/>
      <c r="B139" s="404"/>
      <c r="C139" s="396"/>
      <c r="D139" s="383" t="s">
        <v>302</v>
      </c>
      <c r="E139" s="396"/>
      <c r="F139" s="399">
        <f>SUM(F137:F138)</f>
        <v>16.65279</v>
      </c>
    </row>
    <row r="140" spans="1:6">
      <c r="A140" s="460"/>
      <c r="B140" s="404"/>
      <c r="C140" s="405" t="s">
        <v>303</v>
      </c>
      <c r="D140" s="406"/>
      <c r="E140" s="396"/>
      <c r="F140" s="407">
        <f>F139+F136</f>
        <v>89.468526718000007</v>
      </c>
    </row>
    <row r="141" spans="1:6">
      <c r="A141" s="460"/>
      <c r="B141" s="404"/>
      <c r="C141" s="396"/>
      <c r="D141" s="408" t="s">
        <v>304</v>
      </c>
      <c r="E141" s="396"/>
      <c r="F141" s="409">
        <f>F140</f>
        <v>89.468526718000007</v>
      </c>
    </row>
    <row r="142" spans="1:6" ht="24">
      <c r="A142" s="368" t="s">
        <v>422</v>
      </c>
      <c r="B142" s="364" t="s">
        <v>530</v>
      </c>
      <c r="C142" s="365"/>
      <c r="D142" s="365"/>
      <c r="E142" s="365"/>
      <c r="F142" s="368" t="s">
        <v>290</v>
      </c>
    </row>
    <row r="143" spans="1:6" ht="24">
      <c r="A143" s="396"/>
      <c r="B143" s="369" t="s">
        <v>531</v>
      </c>
      <c r="C143" s="370" t="s">
        <v>525</v>
      </c>
      <c r="D143" s="391">
        <v>3.499E-2</v>
      </c>
      <c r="E143" s="391">
        <v>65.78</v>
      </c>
      <c r="F143" s="400">
        <f>E143*D143</f>
        <v>2.3016421999999999</v>
      </c>
    </row>
    <row r="144" spans="1:6">
      <c r="A144" s="396"/>
      <c r="B144" s="369" t="s">
        <v>412</v>
      </c>
      <c r="C144" s="370" t="s">
        <v>317</v>
      </c>
      <c r="D144" s="411">
        <v>0.54</v>
      </c>
      <c r="E144" s="391">
        <v>0.75</v>
      </c>
      <c r="F144" s="400">
        <f t="shared" ref="F144:F145" si="17">E144*D144</f>
        <v>0.40500000000000003</v>
      </c>
    </row>
    <row r="145" spans="1:6">
      <c r="A145" s="396"/>
      <c r="B145" s="369" t="s">
        <v>532</v>
      </c>
      <c r="C145" s="370" t="s">
        <v>525</v>
      </c>
      <c r="D145" s="391">
        <v>3.499E-2</v>
      </c>
      <c r="E145" s="391">
        <v>48.89</v>
      </c>
      <c r="F145" s="400">
        <f t="shared" si="17"/>
        <v>1.7106611</v>
      </c>
    </row>
    <row r="146" spans="1:6">
      <c r="A146" s="396"/>
      <c r="B146" s="404"/>
      <c r="C146" s="396"/>
      <c r="D146" s="405" t="s">
        <v>298</v>
      </c>
      <c r="E146" s="396"/>
      <c r="F146" s="407">
        <f>SUM(F143:F145)</f>
        <v>4.4173033000000004</v>
      </c>
    </row>
    <row r="147" spans="1:6">
      <c r="A147" s="396"/>
      <c r="B147" s="369" t="s">
        <v>327</v>
      </c>
      <c r="C147" s="370" t="s">
        <v>300</v>
      </c>
      <c r="D147" s="391">
        <v>0.33489999999999998</v>
      </c>
      <c r="E147" s="391">
        <v>11.87</v>
      </c>
      <c r="F147" s="400">
        <f>E147*D147</f>
        <v>3.9752629999999995</v>
      </c>
    </row>
    <row r="148" spans="1:6">
      <c r="A148" s="396"/>
      <c r="B148" s="369" t="s">
        <v>301</v>
      </c>
      <c r="C148" s="370" t="s">
        <v>300</v>
      </c>
      <c r="D148" s="391">
        <v>0.16489999999999999</v>
      </c>
      <c r="E148" s="391">
        <v>9.26</v>
      </c>
      <c r="F148" s="400">
        <f t="shared" ref="F148" si="18">E148*D148</f>
        <v>1.5269739999999998</v>
      </c>
    </row>
    <row r="149" spans="1:6">
      <c r="A149" s="396"/>
      <c r="B149" s="404"/>
      <c r="C149" s="396"/>
      <c r="D149" s="405" t="s">
        <v>302</v>
      </c>
      <c r="E149" s="392"/>
      <c r="F149" s="456">
        <f>SUM(F147:F148)</f>
        <v>5.5022369999999992</v>
      </c>
    </row>
    <row r="150" spans="1:6">
      <c r="A150" s="396"/>
      <c r="B150" s="404"/>
      <c r="C150" s="405" t="s">
        <v>303</v>
      </c>
      <c r="D150" s="396"/>
      <c r="E150" s="392"/>
      <c r="F150" s="407">
        <v>10.41</v>
      </c>
    </row>
    <row r="151" spans="1:6">
      <c r="A151" s="396"/>
      <c r="B151" s="404"/>
      <c r="C151" s="396"/>
      <c r="D151" s="405" t="s">
        <v>304</v>
      </c>
      <c r="E151" s="392"/>
      <c r="F151" s="409">
        <f>F150</f>
        <v>10.41</v>
      </c>
    </row>
    <row r="152" spans="1:6" ht="24">
      <c r="A152" s="368" t="s">
        <v>428</v>
      </c>
      <c r="B152" s="364" t="s">
        <v>518</v>
      </c>
      <c r="C152" s="365"/>
      <c r="D152" s="365"/>
      <c r="E152" s="365"/>
      <c r="F152" s="368" t="s">
        <v>290</v>
      </c>
    </row>
    <row r="153" spans="1:6">
      <c r="A153" s="396"/>
      <c r="B153" s="369" t="s">
        <v>533</v>
      </c>
      <c r="C153" s="370" t="s">
        <v>295</v>
      </c>
      <c r="D153" s="391">
        <v>0.25</v>
      </c>
      <c r="E153" s="391">
        <v>2.94</v>
      </c>
      <c r="F153" s="400">
        <f>E153*D153</f>
        <v>0.73499999999999999</v>
      </c>
    </row>
    <row r="154" spans="1:6">
      <c r="A154" s="396"/>
      <c r="B154" s="404"/>
      <c r="C154" s="396"/>
      <c r="D154" s="405" t="s">
        <v>298</v>
      </c>
      <c r="E154" s="396"/>
      <c r="F154" s="407">
        <f>SUM(F153:F153)</f>
        <v>0.73499999999999999</v>
      </c>
    </row>
    <row r="155" spans="1:6">
      <c r="A155" s="396"/>
      <c r="B155" s="369" t="s">
        <v>327</v>
      </c>
      <c r="C155" s="370" t="s">
        <v>300</v>
      </c>
      <c r="D155" s="411">
        <v>0.28999999999999998</v>
      </c>
      <c r="E155" s="391">
        <v>11.87</v>
      </c>
      <c r="F155" s="400">
        <f>E155*D155</f>
        <v>3.4422999999999995</v>
      </c>
    </row>
    <row r="156" spans="1:6">
      <c r="A156" s="396"/>
      <c r="B156" s="369" t="s">
        <v>301</v>
      </c>
      <c r="C156" s="370" t="s">
        <v>300</v>
      </c>
      <c r="D156" s="411">
        <v>6.0999999999999999E-2</v>
      </c>
      <c r="E156" s="391">
        <v>9.26</v>
      </c>
      <c r="F156" s="400">
        <f t="shared" ref="F156" si="19">E156*D156</f>
        <v>0.56486000000000003</v>
      </c>
    </row>
    <row r="157" spans="1:6">
      <c r="A157" s="396"/>
      <c r="B157" s="404"/>
      <c r="C157" s="396"/>
      <c r="D157" s="405" t="s">
        <v>302</v>
      </c>
      <c r="E157" s="392"/>
      <c r="F157" s="456">
        <f>SUM(F155:F156)</f>
        <v>4.0071599999999998</v>
      </c>
    </row>
    <row r="158" spans="1:6">
      <c r="A158" s="396"/>
      <c r="B158" s="404"/>
      <c r="C158" s="405" t="s">
        <v>303</v>
      </c>
      <c r="D158" s="396"/>
      <c r="E158" s="392"/>
      <c r="F158" s="407">
        <f>F157+F154</f>
        <v>4.7421600000000002</v>
      </c>
    </row>
    <row r="159" spans="1:6">
      <c r="A159" s="396"/>
      <c r="B159" s="404"/>
      <c r="C159" s="396"/>
      <c r="D159" s="405" t="s">
        <v>304</v>
      </c>
      <c r="E159" s="392"/>
      <c r="F159" s="409">
        <f>F158</f>
        <v>4.7421600000000002</v>
      </c>
    </row>
    <row r="160" spans="1:6" ht="24">
      <c r="A160" s="368" t="s">
        <v>328</v>
      </c>
      <c r="B160" s="364" t="s">
        <v>312</v>
      </c>
      <c r="C160" s="365"/>
      <c r="D160" s="365"/>
      <c r="E160" s="367"/>
      <c r="F160" s="368" t="s">
        <v>297</v>
      </c>
    </row>
    <row r="161" spans="1:6">
      <c r="A161" s="460"/>
      <c r="B161" s="369" t="s">
        <v>313</v>
      </c>
      <c r="C161" s="417" t="s">
        <v>314</v>
      </c>
      <c r="D161" s="449">
        <v>2.5499999999999998</v>
      </c>
      <c r="E161" s="382">
        <v>9.26</v>
      </c>
      <c r="F161" s="373">
        <f t="shared" ref="F161" si="20">E161*D161</f>
        <v>23.613</v>
      </c>
    </row>
    <row r="162" spans="1:6">
      <c r="A162" s="460"/>
      <c r="B162" s="378"/>
      <c r="C162" s="418"/>
      <c r="D162" s="420" t="s">
        <v>302</v>
      </c>
      <c r="E162" s="376"/>
      <c r="F162" s="452">
        <f>SUM(F161:F161)</f>
        <v>23.613</v>
      </c>
    </row>
    <row r="163" spans="1:6">
      <c r="A163" s="460"/>
      <c r="B163" s="378"/>
      <c r="C163" s="420" t="s">
        <v>303</v>
      </c>
      <c r="D163" s="418"/>
      <c r="E163" s="376"/>
      <c r="F163" s="422">
        <f>F162</f>
        <v>23.613</v>
      </c>
    </row>
    <row r="164" spans="1:6">
      <c r="A164" s="418"/>
      <c r="B164" s="378"/>
      <c r="C164" s="418"/>
      <c r="D164" s="420" t="s">
        <v>304</v>
      </c>
      <c r="E164" s="376"/>
      <c r="F164" s="380">
        <f>F163</f>
        <v>23.613</v>
      </c>
    </row>
    <row r="165" spans="1:6" ht="70.5" customHeight="1">
      <c r="A165" s="368" t="s">
        <v>329</v>
      </c>
      <c r="B165" s="364" t="s">
        <v>523</v>
      </c>
      <c r="C165" s="365"/>
      <c r="D165" s="365"/>
      <c r="E165" s="365"/>
      <c r="F165" s="368" t="s">
        <v>290</v>
      </c>
    </row>
    <row r="166" spans="1:6" ht="47.25" customHeight="1">
      <c r="A166" s="396"/>
      <c r="B166" s="369" t="s">
        <v>434</v>
      </c>
      <c r="C166" s="370" t="s">
        <v>317</v>
      </c>
      <c r="D166" s="391">
        <v>13.354998999999999</v>
      </c>
      <c r="E166" s="391">
        <v>0.94</v>
      </c>
      <c r="F166" s="400">
        <f>E166*D166</f>
        <v>12.55369906</v>
      </c>
    </row>
    <row r="167" spans="1:6" ht="56.25" customHeight="1">
      <c r="A167" s="396"/>
      <c r="B167" s="369" t="s">
        <v>431</v>
      </c>
      <c r="C167" s="370" t="s">
        <v>60</v>
      </c>
      <c r="D167" s="391">
        <v>0.42498999999999998</v>
      </c>
      <c r="E167" s="391">
        <v>1.04</v>
      </c>
      <c r="F167" s="400">
        <f t="shared" ref="F167:F169" si="21">E167*D167</f>
        <v>0.44198959999999998</v>
      </c>
    </row>
    <row r="168" spans="1:6">
      <c r="A168" s="396"/>
      <c r="B168" s="369" t="s">
        <v>432</v>
      </c>
      <c r="C168" s="370" t="s">
        <v>433</v>
      </c>
      <c r="D168" s="395">
        <v>5.4400000000000004E-3</v>
      </c>
      <c r="E168" s="391">
        <v>47.84</v>
      </c>
      <c r="F168" s="400">
        <f t="shared" si="21"/>
        <v>0.26024960000000003</v>
      </c>
    </row>
    <row r="169" spans="1:6" ht="24">
      <c r="A169" s="396"/>
      <c r="B169" s="369" t="s">
        <v>430</v>
      </c>
      <c r="C169" s="370" t="s">
        <v>297</v>
      </c>
      <c r="D169" s="394">
        <v>1.04E-2</v>
      </c>
      <c r="E169" s="391">
        <v>311.37</v>
      </c>
      <c r="F169" s="400">
        <f t="shared" si="21"/>
        <v>3.238248</v>
      </c>
    </row>
    <row r="170" spans="1:6">
      <c r="A170" s="396"/>
      <c r="B170" s="404"/>
      <c r="C170" s="396"/>
      <c r="D170" s="405" t="s">
        <v>298</v>
      </c>
      <c r="E170" s="392"/>
      <c r="F170" s="407">
        <f>SUM(F166:F169)</f>
        <v>16.494186259999999</v>
      </c>
    </row>
    <row r="171" spans="1:6">
      <c r="A171" s="396"/>
      <c r="B171" s="369" t="s">
        <v>319</v>
      </c>
      <c r="C171" s="370" t="s">
        <v>300</v>
      </c>
      <c r="D171" s="391">
        <v>0.48</v>
      </c>
      <c r="E171" s="391">
        <v>11.87</v>
      </c>
      <c r="F171" s="400">
        <f>E171*D171</f>
        <v>5.6975999999999996</v>
      </c>
    </row>
    <row r="172" spans="1:6">
      <c r="A172" s="396"/>
      <c r="B172" s="369" t="s">
        <v>301</v>
      </c>
      <c r="C172" s="370" t="s">
        <v>300</v>
      </c>
      <c r="D172" s="391">
        <v>0.24</v>
      </c>
      <c r="E172" s="382">
        <v>9.26</v>
      </c>
      <c r="F172" s="400">
        <f t="shared" ref="F172" si="22">E172*D172</f>
        <v>2.2223999999999999</v>
      </c>
    </row>
    <row r="173" spans="1:6">
      <c r="A173" s="396"/>
      <c r="B173" s="404"/>
      <c r="C173" s="396"/>
      <c r="D173" s="405" t="s">
        <v>302</v>
      </c>
      <c r="E173" s="392"/>
      <c r="F173" s="456">
        <f>SUM(F171:F172)</f>
        <v>7.92</v>
      </c>
    </row>
    <row r="174" spans="1:6">
      <c r="A174" s="396"/>
      <c r="B174" s="404"/>
      <c r="C174" s="405" t="s">
        <v>303</v>
      </c>
      <c r="D174" s="396"/>
      <c r="E174" s="392"/>
      <c r="F174" s="407">
        <f>F173+F170</f>
        <v>24.414186260000001</v>
      </c>
    </row>
    <row r="175" spans="1:6">
      <c r="A175" s="396"/>
      <c r="B175" s="404"/>
      <c r="C175" s="396"/>
      <c r="D175" s="405" t="s">
        <v>304</v>
      </c>
      <c r="E175" s="392"/>
      <c r="F175" s="409">
        <f>F174</f>
        <v>24.414186260000001</v>
      </c>
    </row>
    <row r="176" spans="1:6" ht="24">
      <c r="A176" s="368" t="s">
        <v>334</v>
      </c>
      <c r="B176" s="364" t="s">
        <v>418</v>
      </c>
      <c r="C176" s="365"/>
      <c r="D176" s="366"/>
      <c r="E176" s="365"/>
      <c r="F176" s="368" t="s">
        <v>330</v>
      </c>
    </row>
    <row r="177" spans="1:6" ht="24">
      <c r="A177" s="396"/>
      <c r="B177" s="369" t="s">
        <v>419</v>
      </c>
      <c r="C177" s="370" t="s">
        <v>330</v>
      </c>
      <c r="D177" s="395">
        <v>0.83649998999999997</v>
      </c>
      <c r="E177" s="391">
        <v>54.38</v>
      </c>
      <c r="F177" s="400">
        <f t="shared" ref="F177:F180" si="23">E177*D177</f>
        <v>45.4888694562</v>
      </c>
    </row>
    <row r="178" spans="1:6">
      <c r="A178" s="396"/>
      <c r="B178" s="369" t="s">
        <v>353</v>
      </c>
      <c r="C178" s="370" t="s">
        <v>295</v>
      </c>
      <c r="D178" s="413">
        <v>320.49999000000003</v>
      </c>
      <c r="E178" s="391">
        <v>0.5</v>
      </c>
      <c r="F178" s="400">
        <f t="shared" si="23"/>
        <v>160.24999500000001</v>
      </c>
    </row>
    <row r="179" spans="1:6">
      <c r="A179" s="396"/>
      <c r="B179" s="369" t="s">
        <v>352</v>
      </c>
      <c r="C179" s="370" t="s">
        <v>330</v>
      </c>
      <c r="D179" s="394">
        <v>0.89045989999999997</v>
      </c>
      <c r="E179" s="391">
        <v>50</v>
      </c>
      <c r="F179" s="400">
        <f t="shared" si="23"/>
        <v>44.522995000000002</v>
      </c>
    </row>
    <row r="180" spans="1:6" ht="36">
      <c r="A180" s="396"/>
      <c r="B180" s="369" t="s">
        <v>429</v>
      </c>
      <c r="C180" s="370" t="s">
        <v>314</v>
      </c>
      <c r="D180" s="394">
        <v>1.8336499999</v>
      </c>
      <c r="E180" s="391">
        <v>3.6</v>
      </c>
      <c r="F180" s="400">
        <f t="shared" si="23"/>
        <v>6.60113999964</v>
      </c>
    </row>
    <row r="181" spans="1:6">
      <c r="A181" s="396"/>
      <c r="B181" s="404"/>
      <c r="C181" s="396"/>
      <c r="D181" s="383" t="s">
        <v>298</v>
      </c>
      <c r="E181" s="396"/>
      <c r="F181" s="385">
        <f>SUM(F177:F180)</f>
        <v>256.86299945584005</v>
      </c>
    </row>
    <row r="182" spans="1:6" ht="24">
      <c r="A182" s="396"/>
      <c r="B182" s="369" t="s">
        <v>420</v>
      </c>
      <c r="C182" s="370" t="s">
        <v>300</v>
      </c>
      <c r="D182" s="394">
        <v>1.8336599</v>
      </c>
      <c r="E182" s="391">
        <v>11.87</v>
      </c>
      <c r="F182" s="400">
        <f>E182*D182</f>
        <v>21.765543012999998</v>
      </c>
    </row>
    <row r="183" spans="1:6">
      <c r="A183" s="396"/>
      <c r="B183" s="369" t="s">
        <v>301</v>
      </c>
      <c r="C183" s="370" t="s">
        <v>300</v>
      </c>
      <c r="D183" s="394">
        <v>3.2378</v>
      </c>
      <c r="E183" s="391">
        <v>9.26</v>
      </c>
      <c r="F183" s="400">
        <f>E183*D183</f>
        <v>29.982028</v>
      </c>
    </row>
    <row r="184" spans="1:6">
      <c r="A184" s="396"/>
      <c r="B184" s="404"/>
      <c r="C184" s="396"/>
      <c r="D184" s="383" t="s">
        <v>302</v>
      </c>
      <c r="E184" s="396"/>
      <c r="F184" s="399">
        <f>SUM(F182:F183)</f>
        <v>51.747571012999998</v>
      </c>
    </row>
    <row r="185" spans="1:6">
      <c r="A185" s="396"/>
      <c r="B185" s="404"/>
      <c r="C185" s="405" t="s">
        <v>303</v>
      </c>
      <c r="D185" s="490"/>
      <c r="E185" s="396"/>
      <c r="F185" s="407">
        <v>330.95</v>
      </c>
    </row>
    <row r="186" spans="1:6">
      <c r="A186" s="396"/>
      <c r="B186" s="404"/>
      <c r="C186" s="396"/>
      <c r="D186" s="408" t="s">
        <v>304</v>
      </c>
      <c r="E186" s="396"/>
      <c r="F186" s="409">
        <f>F185</f>
        <v>330.95</v>
      </c>
    </row>
    <row r="187" spans="1:6">
      <c r="A187" s="368" t="s">
        <v>335</v>
      </c>
      <c r="B187" s="364" t="s">
        <v>70</v>
      </c>
      <c r="C187" s="401"/>
      <c r="D187" s="401"/>
      <c r="E187" s="365"/>
      <c r="F187" s="368" t="s">
        <v>297</v>
      </c>
    </row>
    <row r="188" spans="1:6" ht="36">
      <c r="A188" s="396"/>
      <c r="B188" s="369" t="s">
        <v>321</v>
      </c>
      <c r="C188" s="370" t="s">
        <v>300</v>
      </c>
      <c r="D188" s="411">
        <v>0.34</v>
      </c>
      <c r="E188" s="391">
        <v>2.48</v>
      </c>
      <c r="F188" s="400">
        <f>E188*D188</f>
        <v>0.84320000000000006</v>
      </c>
    </row>
    <row r="189" spans="1:6">
      <c r="A189" s="396"/>
      <c r="B189" s="404"/>
      <c r="C189" s="396"/>
      <c r="D189" s="383" t="s">
        <v>298</v>
      </c>
      <c r="E189" s="392"/>
      <c r="F189" s="407">
        <f>SUM(F188:F188)</f>
        <v>0.84320000000000006</v>
      </c>
    </row>
    <row r="190" spans="1:6">
      <c r="A190" s="396"/>
      <c r="B190" s="369" t="s">
        <v>301</v>
      </c>
      <c r="C190" s="370" t="s">
        <v>300</v>
      </c>
      <c r="D190" s="391">
        <v>0.48499999999999999</v>
      </c>
      <c r="E190" s="382">
        <v>9.26</v>
      </c>
      <c r="F190" s="400">
        <f t="shared" ref="F190" si="24">E190*D190</f>
        <v>4.4910999999999994</v>
      </c>
    </row>
    <row r="191" spans="1:6">
      <c r="A191" s="396"/>
      <c r="B191" s="404"/>
      <c r="C191" s="396"/>
      <c r="D191" s="405" t="s">
        <v>302</v>
      </c>
      <c r="E191" s="392"/>
      <c r="F191" s="456">
        <f>SUM(F190:F190)</f>
        <v>4.4910999999999994</v>
      </c>
    </row>
    <row r="192" spans="1:6">
      <c r="A192" s="396"/>
      <c r="B192" s="404"/>
      <c r="C192" s="405" t="s">
        <v>303</v>
      </c>
      <c r="D192" s="396"/>
      <c r="E192" s="392"/>
      <c r="F192" s="407">
        <f>F191+F189</f>
        <v>5.3342999999999998</v>
      </c>
    </row>
    <row r="193" spans="1:6">
      <c r="A193" s="396"/>
      <c r="B193" s="404"/>
      <c r="C193" s="396"/>
      <c r="D193" s="405" t="s">
        <v>304</v>
      </c>
      <c r="E193" s="392"/>
      <c r="F193" s="409">
        <f>F192</f>
        <v>5.3342999999999998</v>
      </c>
    </row>
    <row r="194" spans="1:6" ht="24">
      <c r="A194" s="368" t="s">
        <v>337</v>
      </c>
      <c r="B194" s="364" t="s">
        <v>71</v>
      </c>
      <c r="C194" s="365"/>
      <c r="D194" s="365"/>
      <c r="E194" s="365"/>
      <c r="F194" s="368" t="s">
        <v>297</v>
      </c>
    </row>
    <row r="195" spans="1:6" ht="24">
      <c r="A195" s="460"/>
      <c r="B195" s="369" t="s">
        <v>296</v>
      </c>
      <c r="C195" s="370" t="s">
        <v>297</v>
      </c>
      <c r="D195" s="391">
        <v>4.999E-2</v>
      </c>
      <c r="E195" s="391">
        <v>209.05</v>
      </c>
      <c r="F195" s="400">
        <f>E195*D195</f>
        <v>10.450409500000001</v>
      </c>
    </row>
    <row r="196" spans="1:6">
      <c r="A196" s="396"/>
      <c r="B196" s="404"/>
      <c r="C196" s="396"/>
      <c r="D196" s="405" t="s">
        <v>298</v>
      </c>
      <c r="E196" s="392"/>
      <c r="F196" s="407">
        <f>SUM(F195:F195)</f>
        <v>10.450409500000001</v>
      </c>
    </row>
    <row r="197" spans="1:6">
      <c r="A197" s="396"/>
      <c r="B197" s="369" t="s">
        <v>319</v>
      </c>
      <c r="C197" s="370" t="s">
        <v>300</v>
      </c>
      <c r="D197" s="391">
        <v>0.35</v>
      </c>
      <c r="E197" s="391">
        <v>11.87</v>
      </c>
      <c r="F197" s="400">
        <f>E197*D197</f>
        <v>4.1544999999999996</v>
      </c>
    </row>
    <row r="198" spans="1:6">
      <c r="A198" s="396"/>
      <c r="B198" s="369" t="s">
        <v>301</v>
      </c>
      <c r="C198" s="370" t="s">
        <v>300</v>
      </c>
      <c r="D198" s="391">
        <v>0.7</v>
      </c>
      <c r="E198" s="382">
        <v>9.26</v>
      </c>
      <c r="F198" s="400">
        <f t="shared" ref="F198" si="25">E198*D198</f>
        <v>6.4819999999999993</v>
      </c>
    </row>
    <row r="199" spans="1:6">
      <c r="A199" s="396"/>
      <c r="B199" s="404"/>
      <c r="C199" s="396"/>
      <c r="D199" s="405" t="s">
        <v>302</v>
      </c>
      <c r="E199" s="392"/>
      <c r="F199" s="456">
        <f>SUM(F197:F198)</f>
        <v>10.636499999999998</v>
      </c>
    </row>
    <row r="200" spans="1:6">
      <c r="A200" s="396"/>
      <c r="B200" s="404"/>
      <c r="C200" s="405" t="s">
        <v>303</v>
      </c>
      <c r="D200" s="396"/>
      <c r="E200" s="392"/>
      <c r="F200" s="407">
        <f>F199+F196</f>
        <v>21.086909499999997</v>
      </c>
    </row>
    <row r="201" spans="1:6">
      <c r="A201" s="396"/>
      <c r="B201" s="404"/>
      <c r="C201" s="396"/>
      <c r="D201" s="405" t="s">
        <v>304</v>
      </c>
      <c r="E201" s="392"/>
      <c r="F201" s="409">
        <f>F200</f>
        <v>21.086909499999997</v>
      </c>
    </row>
    <row r="202" spans="1:6" ht="24">
      <c r="A202" s="368" t="s">
        <v>338</v>
      </c>
      <c r="B202" s="364" t="s">
        <v>339</v>
      </c>
      <c r="C202" s="401"/>
      <c r="D202" s="401"/>
      <c r="E202" s="401"/>
      <c r="F202" s="368" t="s">
        <v>290</v>
      </c>
    </row>
    <row r="203" spans="1:6" ht="24">
      <c r="A203" s="460"/>
      <c r="B203" s="369" t="s">
        <v>336</v>
      </c>
      <c r="C203" s="370" t="s">
        <v>297</v>
      </c>
      <c r="D203" s="395">
        <v>6.4989999999999996E-3</v>
      </c>
      <c r="E203" s="391">
        <v>356.8</v>
      </c>
      <c r="F203" s="400">
        <f>E203*D203</f>
        <v>2.3188431999999999</v>
      </c>
    </row>
    <row r="204" spans="1:6">
      <c r="A204" s="460"/>
      <c r="B204" s="457"/>
      <c r="C204" s="396"/>
      <c r="D204" s="383" t="s">
        <v>298</v>
      </c>
      <c r="E204" s="396"/>
      <c r="F204" s="456">
        <f>SUM(F202:F203)</f>
        <v>2.3188431999999999</v>
      </c>
    </row>
    <row r="205" spans="1:6">
      <c r="A205" s="396"/>
      <c r="B205" s="369" t="s">
        <v>319</v>
      </c>
      <c r="C205" s="370" t="s">
        <v>300</v>
      </c>
      <c r="D205" s="391">
        <v>0.33499899999999999</v>
      </c>
      <c r="E205" s="391">
        <v>11.87</v>
      </c>
      <c r="F205" s="400">
        <f>E205*D205</f>
        <v>3.9764381299999996</v>
      </c>
    </row>
    <row r="206" spans="1:6">
      <c r="A206" s="396"/>
      <c r="B206" s="369" t="s">
        <v>301</v>
      </c>
      <c r="C206" s="370" t="s">
        <v>300</v>
      </c>
      <c r="D206" s="411">
        <v>0.505</v>
      </c>
      <c r="E206" s="391">
        <v>9.26</v>
      </c>
      <c r="F206" s="400">
        <f t="shared" ref="F206" si="26">E206*D206</f>
        <v>4.6763000000000003</v>
      </c>
    </row>
    <row r="207" spans="1:6">
      <c r="A207" s="396"/>
      <c r="B207" s="404"/>
      <c r="C207" s="396"/>
      <c r="D207" s="405" t="s">
        <v>302</v>
      </c>
      <c r="E207" s="396"/>
      <c r="F207" s="456">
        <f>SUM(F205:F206)</f>
        <v>8.6527381299999995</v>
      </c>
    </row>
    <row r="208" spans="1:6">
      <c r="A208" s="396"/>
      <c r="B208" s="404"/>
      <c r="C208" s="405" t="s">
        <v>303</v>
      </c>
      <c r="D208" s="396"/>
      <c r="E208" s="396"/>
      <c r="F208" s="407">
        <f>F207+F204</f>
        <v>10.971581329999999</v>
      </c>
    </row>
    <row r="209" spans="1:6">
      <c r="A209" s="396"/>
      <c r="B209" s="404"/>
      <c r="C209" s="396"/>
      <c r="D209" s="405" t="s">
        <v>304</v>
      </c>
      <c r="E209" s="396"/>
      <c r="F209" s="409">
        <f>F208</f>
        <v>10.971581329999999</v>
      </c>
    </row>
    <row r="210" spans="1:6" ht="24">
      <c r="A210" s="368" t="s">
        <v>536</v>
      </c>
      <c r="B210" s="364" t="s">
        <v>518</v>
      </c>
      <c r="C210" s="365"/>
      <c r="D210" s="365"/>
      <c r="E210" s="365"/>
      <c r="F210" s="368" t="s">
        <v>290</v>
      </c>
    </row>
    <row r="211" spans="1:6">
      <c r="A211" s="396"/>
      <c r="B211" s="369" t="s">
        <v>533</v>
      </c>
      <c r="C211" s="370" t="s">
        <v>295</v>
      </c>
      <c r="D211" s="391">
        <v>0.25</v>
      </c>
      <c r="E211" s="391">
        <v>2.94</v>
      </c>
      <c r="F211" s="400">
        <f>E211*D211</f>
        <v>0.73499999999999999</v>
      </c>
    </row>
    <row r="212" spans="1:6">
      <c r="A212" s="396"/>
      <c r="B212" s="404"/>
      <c r="C212" s="396"/>
      <c r="D212" s="405" t="s">
        <v>298</v>
      </c>
      <c r="E212" s="396"/>
      <c r="F212" s="407">
        <f>SUM(F211:F211)</f>
        <v>0.73499999999999999</v>
      </c>
    </row>
    <row r="213" spans="1:6">
      <c r="A213" s="396"/>
      <c r="B213" s="369" t="s">
        <v>327</v>
      </c>
      <c r="C213" s="370" t="s">
        <v>300</v>
      </c>
      <c r="D213" s="411">
        <v>0.28999999999999998</v>
      </c>
      <c r="E213" s="391">
        <v>11.87</v>
      </c>
      <c r="F213" s="400">
        <f>E213*D213</f>
        <v>3.4422999999999995</v>
      </c>
    </row>
    <row r="214" spans="1:6">
      <c r="A214" s="396"/>
      <c r="B214" s="369" t="s">
        <v>301</v>
      </c>
      <c r="C214" s="370" t="s">
        <v>300</v>
      </c>
      <c r="D214" s="411">
        <v>6.0999999999999999E-2</v>
      </c>
      <c r="E214" s="391">
        <v>9.26</v>
      </c>
      <c r="F214" s="400">
        <f t="shared" ref="F214" si="27">E214*D214</f>
        <v>0.56486000000000003</v>
      </c>
    </row>
    <row r="215" spans="1:6">
      <c r="A215" s="396"/>
      <c r="B215" s="404"/>
      <c r="C215" s="396"/>
      <c r="D215" s="405" t="s">
        <v>302</v>
      </c>
      <c r="E215" s="392"/>
      <c r="F215" s="456">
        <f>SUM(F213:F214)</f>
        <v>4.0071599999999998</v>
      </c>
    </row>
    <row r="216" spans="1:6">
      <c r="A216" s="396"/>
      <c r="B216" s="404"/>
      <c r="C216" s="405" t="s">
        <v>303</v>
      </c>
      <c r="D216" s="396"/>
      <c r="E216" s="392"/>
      <c r="F216" s="407">
        <f>F215+F212</f>
        <v>4.7421600000000002</v>
      </c>
    </row>
    <row r="217" spans="1:6">
      <c r="A217" s="396"/>
      <c r="B217" s="404"/>
      <c r="C217" s="396"/>
      <c r="D217" s="405" t="s">
        <v>304</v>
      </c>
      <c r="E217" s="392"/>
      <c r="F217" s="409">
        <f>F216</f>
        <v>4.7421600000000002</v>
      </c>
    </row>
    <row r="218" spans="1:6" ht="24">
      <c r="A218" s="368" t="s">
        <v>341</v>
      </c>
      <c r="B218" s="364" t="s">
        <v>312</v>
      </c>
      <c r="C218" s="365"/>
      <c r="D218" s="365"/>
      <c r="E218" s="367"/>
      <c r="F218" s="368" t="s">
        <v>297</v>
      </c>
    </row>
    <row r="219" spans="1:6">
      <c r="A219" s="460"/>
      <c r="B219" s="369" t="s">
        <v>313</v>
      </c>
      <c r="C219" s="417" t="s">
        <v>314</v>
      </c>
      <c r="D219" s="449">
        <v>2.5499999999999998</v>
      </c>
      <c r="E219" s="382">
        <v>9.26</v>
      </c>
      <c r="F219" s="373">
        <f t="shared" ref="F219" si="28">E219*D219</f>
        <v>23.613</v>
      </c>
    </row>
    <row r="220" spans="1:6">
      <c r="A220" s="460"/>
      <c r="B220" s="378"/>
      <c r="C220" s="418"/>
      <c r="D220" s="420" t="s">
        <v>302</v>
      </c>
      <c r="E220" s="376"/>
      <c r="F220" s="452">
        <f>SUM(F219:F219)</f>
        <v>23.613</v>
      </c>
    </row>
    <row r="221" spans="1:6">
      <c r="A221" s="460"/>
      <c r="B221" s="378"/>
      <c r="C221" s="420" t="s">
        <v>303</v>
      </c>
      <c r="D221" s="418"/>
      <c r="E221" s="376"/>
      <c r="F221" s="422">
        <f>F220</f>
        <v>23.613</v>
      </c>
    </row>
    <row r="222" spans="1:6">
      <c r="A222" s="418"/>
      <c r="B222" s="378"/>
      <c r="C222" s="418"/>
      <c r="D222" s="420" t="s">
        <v>304</v>
      </c>
      <c r="E222" s="376"/>
      <c r="F222" s="380">
        <f>F221</f>
        <v>23.613</v>
      </c>
    </row>
    <row r="223" spans="1:6" ht="82.5" customHeight="1">
      <c r="A223" s="368" t="s">
        <v>342</v>
      </c>
      <c r="B223" s="364" t="s">
        <v>523</v>
      </c>
      <c r="C223" s="365"/>
      <c r="D223" s="365"/>
      <c r="E223" s="365"/>
      <c r="F223" s="368" t="s">
        <v>290</v>
      </c>
    </row>
    <row r="224" spans="1:6" ht="43.5" customHeight="1">
      <c r="A224" s="460"/>
      <c r="B224" s="369" t="s">
        <v>434</v>
      </c>
      <c r="C224" s="370" t="s">
        <v>317</v>
      </c>
      <c r="D224" s="391">
        <v>13.354998999999999</v>
      </c>
      <c r="E224" s="391">
        <v>0.94</v>
      </c>
      <c r="F224" s="400">
        <f>E224*D224</f>
        <v>12.55369906</v>
      </c>
    </row>
    <row r="225" spans="1:6" ht="55.5" customHeight="1">
      <c r="A225" s="396"/>
      <c r="B225" s="369" t="s">
        <v>431</v>
      </c>
      <c r="C225" s="370" t="s">
        <v>60</v>
      </c>
      <c r="D225" s="391">
        <v>0.42498999999999998</v>
      </c>
      <c r="E225" s="391">
        <v>1.04</v>
      </c>
      <c r="F225" s="400">
        <f t="shared" ref="F225:F227" si="29">E225*D225</f>
        <v>0.44198959999999998</v>
      </c>
    </row>
    <row r="226" spans="1:6">
      <c r="A226" s="396"/>
      <c r="B226" s="369" t="s">
        <v>432</v>
      </c>
      <c r="C226" s="370" t="s">
        <v>433</v>
      </c>
      <c r="D226" s="395">
        <v>5.4400000000000004E-3</v>
      </c>
      <c r="E226" s="391">
        <v>47.84</v>
      </c>
      <c r="F226" s="400">
        <f t="shared" si="29"/>
        <v>0.26024960000000003</v>
      </c>
    </row>
    <row r="227" spans="1:6" ht="24">
      <c r="A227" s="396"/>
      <c r="B227" s="369" t="s">
        <v>430</v>
      </c>
      <c r="C227" s="370" t="s">
        <v>297</v>
      </c>
      <c r="D227" s="394">
        <v>1.04E-2</v>
      </c>
      <c r="E227" s="391">
        <v>311.37</v>
      </c>
      <c r="F227" s="400">
        <f t="shared" si="29"/>
        <v>3.238248</v>
      </c>
    </row>
    <row r="228" spans="1:6">
      <c r="A228" s="396"/>
      <c r="B228" s="404"/>
      <c r="C228" s="396"/>
      <c r="D228" s="405" t="s">
        <v>298</v>
      </c>
      <c r="E228" s="392"/>
      <c r="F228" s="407">
        <f>SUM(F224:F227)</f>
        <v>16.494186259999999</v>
      </c>
    </row>
    <row r="229" spans="1:6">
      <c r="A229" s="396"/>
      <c r="B229" s="369" t="s">
        <v>319</v>
      </c>
      <c r="C229" s="370" t="s">
        <v>300</v>
      </c>
      <c r="D229" s="391">
        <v>0.48</v>
      </c>
      <c r="E229" s="391">
        <v>11.87</v>
      </c>
      <c r="F229" s="400">
        <f>E229*D229</f>
        <v>5.6975999999999996</v>
      </c>
    </row>
    <row r="230" spans="1:6">
      <c r="A230" s="396"/>
      <c r="B230" s="369" t="s">
        <v>301</v>
      </c>
      <c r="C230" s="370" t="s">
        <v>300</v>
      </c>
      <c r="D230" s="391">
        <v>0.24</v>
      </c>
      <c r="E230" s="382">
        <v>9.26</v>
      </c>
      <c r="F230" s="400">
        <f t="shared" ref="F230" si="30">E230*D230</f>
        <v>2.2223999999999999</v>
      </c>
    </row>
    <row r="231" spans="1:6">
      <c r="A231" s="396"/>
      <c r="B231" s="404"/>
      <c r="C231" s="396"/>
      <c r="D231" s="405" t="s">
        <v>302</v>
      </c>
      <c r="E231" s="392"/>
      <c r="F231" s="456">
        <f>SUM(F229:F230)</f>
        <v>7.92</v>
      </c>
    </row>
    <row r="232" spans="1:6">
      <c r="A232" s="396"/>
      <c r="B232" s="404"/>
      <c r="C232" s="405" t="s">
        <v>303</v>
      </c>
      <c r="D232" s="396"/>
      <c r="E232" s="392"/>
      <c r="F232" s="407">
        <f>F231+F228</f>
        <v>24.414186260000001</v>
      </c>
    </row>
    <row r="233" spans="1:6">
      <c r="A233" s="396"/>
      <c r="B233" s="404"/>
      <c r="C233" s="396"/>
      <c r="D233" s="405" t="s">
        <v>304</v>
      </c>
      <c r="E233" s="392"/>
      <c r="F233" s="409">
        <f>F232</f>
        <v>24.414186260000001</v>
      </c>
    </row>
    <row r="234" spans="1:6">
      <c r="A234" s="368" t="s">
        <v>347</v>
      </c>
      <c r="B234" s="364" t="s">
        <v>70</v>
      </c>
      <c r="C234" s="401"/>
      <c r="D234" s="401"/>
      <c r="E234" s="365"/>
      <c r="F234" s="368" t="s">
        <v>297</v>
      </c>
    </row>
    <row r="235" spans="1:6" ht="36">
      <c r="A235" s="460"/>
      <c r="B235" s="369" t="s">
        <v>321</v>
      </c>
      <c r="C235" s="370" t="s">
        <v>300</v>
      </c>
      <c r="D235" s="411">
        <v>0.34</v>
      </c>
      <c r="E235" s="391">
        <v>2.48</v>
      </c>
      <c r="F235" s="400">
        <f>E235*D235</f>
        <v>0.84320000000000006</v>
      </c>
    </row>
    <row r="236" spans="1:6">
      <c r="A236" s="396"/>
      <c r="B236" s="404"/>
      <c r="C236" s="396"/>
      <c r="D236" s="383" t="s">
        <v>298</v>
      </c>
      <c r="E236" s="392"/>
      <c r="F236" s="407">
        <f>SUM(F235:F235)</f>
        <v>0.84320000000000006</v>
      </c>
    </row>
    <row r="237" spans="1:6">
      <c r="A237" s="396"/>
      <c r="B237" s="369" t="s">
        <v>301</v>
      </c>
      <c r="C237" s="370" t="s">
        <v>300</v>
      </c>
      <c r="D237" s="391">
        <v>0.48499999999999999</v>
      </c>
      <c r="E237" s="382">
        <v>9.26</v>
      </c>
      <c r="F237" s="400">
        <f t="shared" ref="F237" si="31">E237*D237</f>
        <v>4.4910999999999994</v>
      </c>
    </row>
    <row r="238" spans="1:6">
      <c r="A238" s="396"/>
      <c r="B238" s="404"/>
      <c r="C238" s="396"/>
      <c r="D238" s="405" t="s">
        <v>302</v>
      </c>
      <c r="E238" s="392"/>
      <c r="F238" s="456">
        <f>SUM(F237:F237)</f>
        <v>4.4910999999999994</v>
      </c>
    </row>
    <row r="239" spans="1:6">
      <c r="A239" s="396"/>
      <c r="B239" s="404"/>
      <c r="C239" s="405" t="s">
        <v>303</v>
      </c>
      <c r="D239" s="396"/>
      <c r="E239" s="392"/>
      <c r="F239" s="407">
        <f>F238+F236</f>
        <v>5.3342999999999998</v>
      </c>
    </row>
    <row r="240" spans="1:6">
      <c r="A240" s="396"/>
      <c r="B240" s="404"/>
      <c r="C240" s="396"/>
      <c r="D240" s="405" t="s">
        <v>304</v>
      </c>
      <c r="E240" s="392"/>
      <c r="F240" s="409">
        <f>F239</f>
        <v>5.3342999999999998</v>
      </c>
    </row>
    <row r="241" spans="1:6" ht="24">
      <c r="A241" s="368" t="s">
        <v>349</v>
      </c>
      <c r="B241" s="364" t="s">
        <v>71</v>
      </c>
      <c r="C241" s="365"/>
      <c r="D241" s="365"/>
      <c r="E241" s="365"/>
      <c r="F241" s="368" t="s">
        <v>297</v>
      </c>
    </row>
    <row r="242" spans="1:6" ht="24">
      <c r="A242" s="460"/>
      <c r="B242" s="369" t="s">
        <v>296</v>
      </c>
      <c r="C242" s="370" t="s">
        <v>297</v>
      </c>
      <c r="D242" s="391">
        <v>4.999E-2</v>
      </c>
      <c r="E242" s="391">
        <v>209.05</v>
      </c>
      <c r="F242" s="400">
        <f>E242*D242</f>
        <v>10.450409500000001</v>
      </c>
    </row>
    <row r="243" spans="1:6">
      <c r="A243" s="396"/>
      <c r="B243" s="404"/>
      <c r="C243" s="396"/>
      <c r="D243" s="405" t="s">
        <v>298</v>
      </c>
      <c r="E243" s="392"/>
      <c r="F243" s="407">
        <f>SUM(F242:F242)</f>
        <v>10.450409500000001</v>
      </c>
    </row>
    <row r="244" spans="1:6">
      <c r="A244" s="396"/>
      <c r="B244" s="369" t="s">
        <v>319</v>
      </c>
      <c r="C244" s="370" t="s">
        <v>300</v>
      </c>
      <c r="D244" s="391">
        <v>0.35</v>
      </c>
      <c r="E244" s="391">
        <v>11.87</v>
      </c>
      <c r="F244" s="400">
        <f>E244*D244</f>
        <v>4.1544999999999996</v>
      </c>
    </row>
    <row r="245" spans="1:6">
      <c r="A245" s="396"/>
      <c r="B245" s="369" t="s">
        <v>301</v>
      </c>
      <c r="C245" s="370" t="s">
        <v>300</v>
      </c>
      <c r="D245" s="391">
        <v>0.7</v>
      </c>
      <c r="E245" s="382">
        <v>9.26</v>
      </c>
      <c r="F245" s="400">
        <f t="shared" ref="F245" si="32">E245*D245</f>
        <v>6.4819999999999993</v>
      </c>
    </row>
    <row r="246" spans="1:6">
      <c r="A246" s="396"/>
      <c r="B246" s="404"/>
      <c r="C246" s="396"/>
      <c r="D246" s="405" t="s">
        <v>302</v>
      </c>
      <c r="E246" s="392"/>
      <c r="F246" s="456">
        <f>SUM(F244:F245)</f>
        <v>10.636499999999998</v>
      </c>
    </row>
    <row r="247" spans="1:6">
      <c r="A247" s="396"/>
      <c r="B247" s="404"/>
      <c r="C247" s="405" t="s">
        <v>303</v>
      </c>
      <c r="D247" s="396"/>
      <c r="E247" s="392"/>
      <c r="F247" s="407">
        <f>F246+F243</f>
        <v>21.086909499999997</v>
      </c>
    </row>
    <row r="248" spans="1:6">
      <c r="A248" s="396"/>
      <c r="B248" s="404"/>
      <c r="C248" s="396"/>
      <c r="D248" s="405" t="s">
        <v>304</v>
      </c>
      <c r="E248" s="392"/>
      <c r="F248" s="409">
        <f>F247</f>
        <v>21.086909499999997</v>
      </c>
    </row>
    <row r="249" spans="1:6" ht="24">
      <c r="A249" s="368" t="s">
        <v>351</v>
      </c>
      <c r="B249" s="364" t="s">
        <v>518</v>
      </c>
      <c r="C249" s="365"/>
      <c r="D249" s="365"/>
      <c r="E249" s="365"/>
      <c r="F249" s="368" t="s">
        <v>290</v>
      </c>
    </row>
    <row r="250" spans="1:6">
      <c r="A250" s="396"/>
      <c r="B250" s="369" t="s">
        <v>533</v>
      </c>
      <c r="C250" s="370" t="s">
        <v>295</v>
      </c>
      <c r="D250" s="391">
        <v>0.25</v>
      </c>
      <c r="E250" s="391">
        <v>2.94</v>
      </c>
      <c r="F250" s="400">
        <f>E250*D250</f>
        <v>0.73499999999999999</v>
      </c>
    </row>
    <row r="251" spans="1:6">
      <c r="A251" s="396"/>
      <c r="B251" s="404"/>
      <c r="C251" s="396"/>
      <c r="D251" s="405" t="s">
        <v>298</v>
      </c>
      <c r="E251" s="396"/>
      <c r="F251" s="407">
        <f>SUM(F250:F250)</f>
        <v>0.73499999999999999</v>
      </c>
    </row>
    <row r="252" spans="1:6">
      <c r="A252" s="396"/>
      <c r="B252" s="369" t="s">
        <v>327</v>
      </c>
      <c r="C252" s="370" t="s">
        <v>300</v>
      </c>
      <c r="D252" s="411">
        <v>0.28999999999999998</v>
      </c>
      <c r="E252" s="391">
        <v>11.87</v>
      </c>
      <c r="F252" s="400">
        <f>E252*D252</f>
        <v>3.4422999999999995</v>
      </c>
    </row>
    <row r="253" spans="1:6">
      <c r="A253" s="396"/>
      <c r="B253" s="369" t="s">
        <v>301</v>
      </c>
      <c r="C253" s="370" t="s">
        <v>300</v>
      </c>
      <c r="D253" s="411">
        <v>6.0999999999999999E-2</v>
      </c>
      <c r="E253" s="391">
        <v>9.26</v>
      </c>
      <c r="F253" s="400">
        <f t="shared" ref="F253" si="33">E253*D253</f>
        <v>0.56486000000000003</v>
      </c>
    </row>
    <row r="254" spans="1:6">
      <c r="A254" s="396"/>
      <c r="B254" s="404"/>
      <c r="C254" s="396"/>
      <c r="D254" s="405" t="s">
        <v>302</v>
      </c>
      <c r="E254" s="392"/>
      <c r="F254" s="456">
        <f>SUM(F252:F253)</f>
        <v>4.0071599999999998</v>
      </c>
    </row>
    <row r="255" spans="1:6">
      <c r="A255" s="396"/>
      <c r="B255" s="404"/>
      <c r="C255" s="405" t="s">
        <v>303</v>
      </c>
      <c r="D255" s="396"/>
      <c r="E255" s="392"/>
      <c r="F255" s="407">
        <f>F254+F251</f>
        <v>4.7421600000000002</v>
      </c>
    </row>
    <row r="256" spans="1:6">
      <c r="A256" s="396"/>
      <c r="B256" s="404"/>
      <c r="C256" s="396"/>
      <c r="D256" s="405" t="s">
        <v>304</v>
      </c>
      <c r="E256" s="392"/>
      <c r="F256" s="409">
        <f>F255</f>
        <v>4.7421600000000002</v>
      </c>
    </row>
    <row r="257" spans="1:6" ht="24">
      <c r="A257" s="368" t="s">
        <v>382</v>
      </c>
      <c r="B257" s="364" t="s">
        <v>383</v>
      </c>
      <c r="C257" s="365"/>
      <c r="D257" s="365"/>
      <c r="E257" s="367"/>
      <c r="F257" s="368" t="s">
        <v>297</v>
      </c>
    </row>
    <row r="258" spans="1:6">
      <c r="A258" s="396"/>
      <c r="B258" s="369" t="s">
        <v>313</v>
      </c>
      <c r="C258" s="417" t="s">
        <v>314</v>
      </c>
      <c r="D258" s="461">
        <v>2.4009999999999998</v>
      </c>
      <c r="E258" s="382">
        <v>9.26</v>
      </c>
      <c r="F258" s="373">
        <f t="shared" ref="F258" si="34">E258*D258</f>
        <v>22.233259999999998</v>
      </c>
    </row>
    <row r="259" spans="1:6">
      <c r="A259" s="396"/>
      <c r="B259" s="378"/>
      <c r="C259" s="418"/>
      <c r="D259" s="420" t="s">
        <v>302</v>
      </c>
      <c r="E259" s="376"/>
      <c r="F259" s="452">
        <f>SUM(F258:F258)</f>
        <v>22.233259999999998</v>
      </c>
    </row>
    <row r="260" spans="1:6">
      <c r="A260" s="396"/>
      <c r="B260" s="378"/>
      <c r="C260" s="420" t="s">
        <v>303</v>
      </c>
      <c r="D260" s="418"/>
      <c r="E260" s="376"/>
      <c r="F260" s="422">
        <f>F259</f>
        <v>22.233259999999998</v>
      </c>
    </row>
    <row r="261" spans="1:6">
      <c r="A261" s="396"/>
      <c r="B261" s="378"/>
      <c r="C261" s="418"/>
      <c r="D261" s="420" t="s">
        <v>304</v>
      </c>
      <c r="E261" s="376"/>
      <c r="F261" s="380">
        <f>F260</f>
        <v>22.233259999999998</v>
      </c>
    </row>
    <row r="262" spans="1:6">
      <c r="A262" s="396"/>
      <c r="B262" s="404"/>
      <c r="C262" s="396"/>
      <c r="D262" s="405"/>
      <c r="E262" s="392"/>
      <c r="F262" s="409"/>
    </row>
    <row r="263" spans="1:6" ht="24">
      <c r="A263" s="368" t="s">
        <v>384</v>
      </c>
      <c r="B263" s="364" t="s">
        <v>560</v>
      </c>
      <c r="C263" s="401"/>
      <c r="D263" s="401"/>
      <c r="E263" s="401"/>
      <c r="F263" s="368" t="s">
        <v>60</v>
      </c>
    </row>
    <row r="264" spans="1:6" ht="24">
      <c r="A264" s="460"/>
      <c r="B264" s="369" t="s">
        <v>343</v>
      </c>
      <c r="C264" s="370" t="s">
        <v>60</v>
      </c>
      <c r="D264" s="391">
        <v>1.05</v>
      </c>
      <c r="E264" s="391">
        <v>8.48</v>
      </c>
      <c r="F264" s="400">
        <f>E264*D264</f>
        <v>8.9040000000000017</v>
      </c>
    </row>
    <row r="265" spans="1:6" ht="24">
      <c r="A265" s="460"/>
      <c r="B265" s="369" t="s">
        <v>344</v>
      </c>
      <c r="C265" s="370" t="s">
        <v>317</v>
      </c>
      <c r="D265" s="391">
        <v>1</v>
      </c>
      <c r="E265" s="391">
        <v>2.2999999999999998</v>
      </c>
      <c r="F265" s="400">
        <f>E265*D265</f>
        <v>2.2999999999999998</v>
      </c>
    </row>
    <row r="266" spans="1:6">
      <c r="A266" s="460"/>
      <c r="B266" s="404"/>
      <c r="C266" s="396"/>
      <c r="D266" s="383" t="s">
        <v>298</v>
      </c>
      <c r="E266" s="396"/>
      <c r="F266" s="456">
        <f>SUM(F264:F265)</f>
        <v>11.204000000000001</v>
      </c>
    </row>
    <row r="267" spans="1:6" ht="24">
      <c r="A267" s="460"/>
      <c r="B267" s="369" t="s">
        <v>345</v>
      </c>
      <c r="C267" s="370" t="s">
        <v>300</v>
      </c>
      <c r="D267" s="391">
        <v>0.52049999999999996</v>
      </c>
      <c r="E267" s="391">
        <v>11.87</v>
      </c>
      <c r="F267" s="400">
        <f>E267*D267</f>
        <v>6.1783349999999988</v>
      </c>
    </row>
    <row r="268" spans="1:6" ht="36">
      <c r="A268" s="396"/>
      <c r="B268" s="369" t="s">
        <v>346</v>
      </c>
      <c r="C268" s="370" t="s">
        <v>300</v>
      </c>
      <c r="D268" s="391">
        <v>0.52</v>
      </c>
      <c r="E268" s="391">
        <v>9.34</v>
      </c>
      <c r="F268" s="400">
        <f t="shared" ref="F268" si="35">E268*D268</f>
        <v>4.8567999999999998</v>
      </c>
    </row>
    <row r="269" spans="1:6">
      <c r="A269" s="396"/>
      <c r="B269" s="404"/>
      <c r="C269" s="396"/>
      <c r="D269" s="405" t="s">
        <v>302</v>
      </c>
      <c r="E269" s="396"/>
      <c r="F269" s="456">
        <f>SUM(F267:F268)</f>
        <v>11.035134999999999</v>
      </c>
    </row>
    <row r="270" spans="1:6">
      <c r="A270" s="396"/>
      <c r="B270" s="404"/>
      <c r="C270" s="405" t="s">
        <v>303</v>
      </c>
      <c r="D270" s="396"/>
      <c r="E270" s="396"/>
      <c r="F270" s="407">
        <f>F269+F266</f>
        <v>22.239134999999997</v>
      </c>
    </row>
    <row r="271" spans="1:6">
      <c r="A271" s="396"/>
      <c r="B271" s="458"/>
      <c r="C271" s="392"/>
      <c r="D271" s="405" t="s">
        <v>304</v>
      </c>
      <c r="E271" s="392"/>
      <c r="F271" s="409">
        <f>F270</f>
        <v>22.239134999999997</v>
      </c>
    </row>
    <row r="272" spans="1:6">
      <c r="A272" s="368" t="s">
        <v>388</v>
      </c>
      <c r="B272" s="364" t="s">
        <v>561</v>
      </c>
      <c r="C272" s="365"/>
      <c r="D272" s="365"/>
      <c r="E272" s="365"/>
      <c r="F272" s="368" t="s">
        <v>297</v>
      </c>
    </row>
    <row r="273" spans="1:6" ht="36">
      <c r="A273" s="396"/>
      <c r="B273" s="369" t="s">
        <v>350</v>
      </c>
      <c r="C273" s="370" t="s">
        <v>297</v>
      </c>
      <c r="D273" s="391">
        <v>1.1000000000000001</v>
      </c>
      <c r="E273" s="391">
        <v>54.38</v>
      </c>
      <c r="F273" s="400">
        <f>E273*D273</f>
        <v>59.818000000000005</v>
      </c>
    </row>
    <row r="274" spans="1:6">
      <c r="A274" s="396"/>
      <c r="B274" s="404"/>
      <c r="C274" s="396"/>
      <c r="D274" s="383" t="s">
        <v>298</v>
      </c>
      <c r="E274" s="396"/>
      <c r="F274" s="407">
        <f>F273</f>
        <v>59.818000000000005</v>
      </c>
    </row>
    <row r="275" spans="1:6">
      <c r="A275" s="396"/>
      <c r="B275" s="369" t="s">
        <v>301</v>
      </c>
      <c r="C275" s="370" t="s">
        <v>300</v>
      </c>
      <c r="D275" s="391">
        <v>2.4500000000000002</v>
      </c>
      <c r="E275" s="391">
        <v>9.26</v>
      </c>
      <c r="F275" s="400">
        <f t="shared" ref="F275" si="36">E275*D275</f>
        <v>22.687000000000001</v>
      </c>
    </row>
    <row r="276" spans="1:6">
      <c r="A276" s="396"/>
      <c r="B276" s="404"/>
      <c r="C276" s="396"/>
      <c r="D276" s="405" t="s">
        <v>302</v>
      </c>
      <c r="E276" s="396"/>
      <c r="F276" s="456">
        <f>SUM(F275:F275)</f>
        <v>22.687000000000001</v>
      </c>
    </row>
    <row r="277" spans="1:6">
      <c r="A277" s="396"/>
      <c r="B277" s="404"/>
      <c r="C277" s="405" t="s">
        <v>303</v>
      </c>
      <c r="D277" s="396"/>
      <c r="E277" s="396"/>
      <c r="F277" s="407">
        <f>F276+F274</f>
        <v>82.50500000000001</v>
      </c>
    </row>
    <row r="278" spans="1:6">
      <c r="A278" s="396"/>
      <c r="B278" s="404"/>
      <c r="C278" s="396"/>
      <c r="D278" s="405" t="s">
        <v>304</v>
      </c>
      <c r="E278" s="396"/>
      <c r="F278" s="409">
        <f>F277</f>
        <v>82.50500000000001</v>
      </c>
    </row>
    <row r="279" spans="1:6">
      <c r="A279" s="368" t="s">
        <v>392</v>
      </c>
      <c r="B279" s="364" t="s">
        <v>93</v>
      </c>
      <c r="C279" s="365"/>
      <c r="D279" s="365"/>
      <c r="E279" s="365"/>
      <c r="F279" s="368" t="s">
        <v>290</v>
      </c>
    </row>
    <row r="280" spans="1:6" ht="36">
      <c r="A280" s="396"/>
      <c r="B280" s="369" t="s">
        <v>348</v>
      </c>
      <c r="C280" s="370" t="s">
        <v>290</v>
      </c>
      <c r="D280" s="391">
        <v>1.079</v>
      </c>
      <c r="E280" s="391">
        <v>8.76</v>
      </c>
      <c r="F280" s="400">
        <f>E280*D280</f>
        <v>9.4520400000000002</v>
      </c>
    </row>
    <row r="281" spans="1:6">
      <c r="A281" s="396"/>
      <c r="B281" s="404"/>
      <c r="C281" s="396"/>
      <c r="D281" s="383" t="s">
        <v>298</v>
      </c>
      <c r="E281" s="396"/>
      <c r="F281" s="407">
        <f>F280</f>
        <v>9.4520400000000002</v>
      </c>
    </row>
    <row r="282" spans="1:6">
      <c r="A282" s="396"/>
      <c r="B282" s="369" t="s">
        <v>301</v>
      </c>
      <c r="C282" s="370" t="s">
        <v>300</v>
      </c>
      <c r="D282" s="391">
        <v>0.03</v>
      </c>
      <c r="E282" s="391">
        <v>9.26</v>
      </c>
      <c r="F282" s="400">
        <f t="shared" ref="F282" si="37">E282*D282</f>
        <v>0.27779999999999999</v>
      </c>
    </row>
    <row r="283" spans="1:6">
      <c r="A283" s="396"/>
      <c r="B283" s="404"/>
      <c r="C283" s="396"/>
      <c r="D283" s="405" t="s">
        <v>302</v>
      </c>
      <c r="E283" s="392"/>
      <c r="F283" s="456">
        <f>SUM(F282:F282)</f>
        <v>0.27779999999999999</v>
      </c>
    </row>
    <row r="284" spans="1:6">
      <c r="A284" s="396"/>
      <c r="B284" s="404"/>
      <c r="C284" s="405" t="s">
        <v>303</v>
      </c>
      <c r="D284" s="396"/>
      <c r="E284" s="392"/>
      <c r="F284" s="407">
        <f>F283+F281</f>
        <v>9.7298399999999994</v>
      </c>
    </row>
    <row r="285" spans="1:6">
      <c r="A285" s="396"/>
      <c r="B285" s="404"/>
      <c r="C285" s="396"/>
      <c r="D285" s="405" t="s">
        <v>304</v>
      </c>
      <c r="E285" s="392"/>
      <c r="F285" s="409">
        <f>F284</f>
        <v>9.7298399999999994</v>
      </c>
    </row>
    <row r="286" spans="1:6">
      <c r="A286" s="368" t="s">
        <v>398</v>
      </c>
      <c r="B286" s="364" t="s">
        <v>477</v>
      </c>
      <c r="C286" s="401"/>
      <c r="D286" s="401"/>
      <c r="E286" s="365"/>
      <c r="F286" s="368" t="s">
        <v>4</v>
      </c>
    </row>
    <row r="287" spans="1:6">
      <c r="A287" s="396"/>
      <c r="B287" s="369" t="s">
        <v>570</v>
      </c>
      <c r="C287" s="370" t="s">
        <v>4</v>
      </c>
      <c r="D287" s="413">
        <v>0.87580000000000002</v>
      </c>
      <c r="E287" s="391">
        <v>5.99</v>
      </c>
      <c r="F287" s="400">
        <f>E287*D287</f>
        <v>5.2460420000000001</v>
      </c>
    </row>
    <row r="288" spans="1:6">
      <c r="A288" s="396"/>
      <c r="B288" s="369" t="s">
        <v>395</v>
      </c>
      <c r="C288" s="370" t="s">
        <v>4</v>
      </c>
      <c r="D288" s="395">
        <v>1.5440000000000001E-2</v>
      </c>
      <c r="E288" s="391">
        <v>35.299999999999997</v>
      </c>
      <c r="F288" s="400">
        <f>E288*D288</f>
        <v>0.54503199999999996</v>
      </c>
    </row>
    <row r="289" spans="1:6">
      <c r="A289" s="396"/>
      <c r="B289" s="404"/>
      <c r="C289" s="396"/>
      <c r="D289" s="383" t="s">
        <v>298</v>
      </c>
      <c r="E289" s="396"/>
      <c r="F289" s="456">
        <f>SUM(F287:F288)</f>
        <v>5.7910740000000001</v>
      </c>
    </row>
    <row r="290" spans="1:6" ht="24">
      <c r="A290" s="396"/>
      <c r="B290" s="369" t="s">
        <v>345</v>
      </c>
      <c r="C290" s="370" t="s">
        <v>300</v>
      </c>
      <c r="D290" s="391">
        <v>0.114</v>
      </c>
      <c r="E290" s="391">
        <v>11.87</v>
      </c>
      <c r="F290" s="400">
        <f>E290*D290</f>
        <v>1.35318</v>
      </c>
    </row>
    <row r="291" spans="1:6">
      <c r="A291" s="396"/>
      <c r="B291" s="369" t="s">
        <v>301</v>
      </c>
      <c r="C291" s="370" t="s">
        <v>300</v>
      </c>
      <c r="D291" s="391">
        <v>0.114</v>
      </c>
      <c r="E291" s="391">
        <v>9.26</v>
      </c>
      <c r="F291" s="400">
        <f t="shared" ref="F291" si="38">E291*D291</f>
        <v>1.0556399999999999</v>
      </c>
    </row>
    <row r="292" spans="1:6">
      <c r="A292" s="396"/>
      <c r="B292" s="404"/>
      <c r="C292" s="396"/>
      <c r="D292" s="405" t="s">
        <v>302</v>
      </c>
      <c r="E292" s="396"/>
      <c r="F292" s="456">
        <f>SUM(F290:F291)</f>
        <v>2.40882</v>
      </c>
    </row>
    <row r="293" spans="1:6">
      <c r="A293" s="396"/>
      <c r="B293" s="404"/>
      <c r="C293" s="405" t="s">
        <v>303</v>
      </c>
      <c r="D293" s="396"/>
      <c r="E293" s="396"/>
      <c r="F293" s="407">
        <v>9.66</v>
      </c>
    </row>
    <row r="294" spans="1:6">
      <c r="A294" s="396"/>
      <c r="B294" s="404"/>
      <c r="C294" s="396"/>
      <c r="D294" s="405" t="s">
        <v>304</v>
      </c>
      <c r="E294" s="396"/>
      <c r="F294" s="409">
        <f>F293</f>
        <v>9.66</v>
      </c>
    </row>
    <row r="295" spans="1:6" ht="24">
      <c r="A295" s="368" t="s">
        <v>401</v>
      </c>
      <c r="B295" s="364" t="s">
        <v>479</v>
      </c>
      <c r="C295" s="401"/>
      <c r="D295" s="401"/>
      <c r="E295" s="401"/>
      <c r="F295" s="368" t="s">
        <v>60</v>
      </c>
    </row>
    <row r="296" spans="1:6" s="419" customFormat="1" ht="21" customHeight="1">
      <c r="A296" s="396"/>
      <c r="B296" s="369" t="s">
        <v>571</v>
      </c>
      <c r="C296" s="370" t="s">
        <v>4</v>
      </c>
      <c r="D296" s="413">
        <v>0.87580000000000002</v>
      </c>
      <c r="E296" s="391">
        <v>38.74</v>
      </c>
      <c r="F296" s="400">
        <f>E296*D296</f>
        <v>33.928492000000006</v>
      </c>
    </row>
    <row r="297" spans="1:6" s="419" customFormat="1" ht="24.75" customHeight="1">
      <c r="A297" s="515"/>
      <c r="B297" s="516" t="s">
        <v>356</v>
      </c>
      <c r="C297" s="517" t="s">
        <v>317</v>
      </c>
      <c r="D297" s="518">
        <v>1</v>
      </c>
      <c r="E297" s="518">
        <v>7.22</v>
      </c>
      <c r="F297" s="519">
        <f t="shared" ref="F297:F298" si="39">E297*D297</f>
        <v>7.22</v>
      </c>
    </row>
    <row r="298" spans="1:6" s="419" customFormat="1" ht="24">
      <c r="A298" s="396"/>
      <c r="B298" s="369" t="s">
        <v>357</v>
      </c>
      <c r="C298" s="370" t="s">
        <v>317</v>
      </c>
      <c r="D298" s="395">
        <v>9.1999999999999998E-2</v>
      </c>
      <c r="E298" s="391">
        <v>92.83</v>
      </c>
      <c r="F298" s="400">
        <f t="shared" si="39"/>
        <v>8.5403599999999997</v>
      </c>
    </row>
    <row r="299" spans="1:6">
      <c r="A299" s="396"/>
      <c r="B299" s="404"/>
      <c r="C299" s="396"/>
      <c r="D299" s="383" t="s">
        <v>298</v>
      </c>
      <c r="E299" s="396"/>
      <c r="F299" s="456">
        <f>SUM(F296:F298)</f>
        <v>49.688852000000004</v>
      </c>
    </row>
    <row r="300" spans="1:6" ht="24">
      <c r="A300" s="396"/>
      <c r="B300" s="369" t="s">
        <v>345</v>
      </c>
      <c r="C300" s="370" t="s">
        <v>300</v>
      </c>
      <c r="D300" s="395">
        <v>0.28499999999999998</v>
      </c>
      <c r="E300" s="391">
        <v>11.87</v>
      </c>
      <c r="F300" s="400">
        <f>E300*D300</f>
        <v>3.3829499999999997</v>
      </c>
    </row>
    <row r="301" spans="1:6" ht="24">
      <c r="A301" s="396"/>
      <c r="B301" s="369" t="s">
        <v>358</v>
      </c>
      <c r="C301" s="370" t="s">
        <v>300</v>
      </c>
      <c r="D301" s="395">
        <v>0.28499999999999998</v>
      </c>
      <c r="E301" s="391">
        <v>9.26</v>
      </c>
      <c r="F301" s="400">
        <f t="shared" ref="F301" si="40">E301*D301</f>
        <v>2.6390999999999996</v>
      </c>
    </row>
    <row r="302" spans="1:6">
      <c r="A302" s="396"/>
      <c r="B302" s="404"/>
      <c r="C302" s="396"/>
      <c r="D302" s="405" t="s">
        <v>302</v>
      </c>
      <c r="E302" s="396"/>
      <c r="F302" s="456">
        <f>SUM(F300:F301)</f>
        <v>6.0220499999999992</v>
      </c>
    </row>
    <row r="303" spans="1:6">
      <c r="A303" s="396"/>
      <c r="B303" s="404"/>
      <c r="C303" s="405" t="s">
        <v>303</v>
      </c>
      <c r="D303" s="396"/>
      <c r="E303" s="396"/>
      <c r="F303" s="407">
        <v>51.23</v>
      </c>
    </row>
    <row r="304" spans="1:6">
      <c r="A304" s="396"/>
      <c r="B304" s="404"/>
      <c r="C304" s="396"/>
      <c r="D304" s="405" t="s">
        <v>304</v>
      </c>
      <c r="E304" s="396"/>
      <c r="F304" s="409">
        <f>F303</f>
        <v>51.23</v>
      </c>
    </row>
    <row r="305" spans="1:6">
      <c r="A305" s="368" t="s">
        <v>442</v>
      </c>
      <c r="B305" s="364" t="s">
        <v>457</v>
      </c>
      <c r="C305" s="401"/>
      <c r="D305" s="401"/>
      <c r="E305" s="401"/>
      <c r="F305" s="368" t="s">
        <v>60</v>
      </c>
    </row>
    <row r="306" spans="1:6" ht="15.75" customHeight="1">
      <c r="A306" s="396"/>
      <c r="B306" s="369" t="s">
        <v>355</v>
      </c>
      <c r="C306" s="370" t="s">
        <v>60</v>
      </c>
      <c r="D306" s="413">
        <v>0.87580000000000002</v>
      </c>
      <c r="E306" s="391">
        <v>34.42</v>
      </c>
      <c r="F306" s="400">
        <f>E306*D306</f>
        <v>30.145036000000001</v>
      </c>
    </row>
    <row r="307" spans="1:6" ht="24.75" customHeight="1">
      <c r="A307" s="396"/>
      <c r="B307" s="369" t="s">
        <v>356</v>
      </c>
      <c r="C307" s="370" t="s">
        <v>317</v>
      </c>
      <c r="D307" s="391">
        <v>1</v>
      </c>
      <c r="E307" s="391">
        <v>7.22</v>
      </c>
      <c r="F307" s="400">
        <f t="shared" ref="F307:F308" si="41">E307*D307</f>
        <v>7.22</v>
      </c>
    </row>
    <row r="308" spans="1:6" ht="24">
      <c r="A308" s="396"/>
      <c r="B308" s="369" t="s">
        <v>357</v>
      </c>
      <c r="C308" s="370" t="s">
        <v>317</v>
      </c>
      <c r="D308" s="391">
        <v>0.01</v>
      </c>
      <c r="E308" s="391">
        <v>92.83</v>
      </c>
      <c r="F308" s="400">
        <f t="shared" si="41"/>
        <v>0.92830000000000001</v>
      </c>
    </row>
    <row r="309" spans="1:6">
      <c r="A309" s="396"/>
      <c r="B309" s="404"/>
      <c r="C309" s="396"/>
      <c r="D309" s="383" t="s">
        <v>298</v>
      </c>
      <c r="E309" s="392"/>
      <c r="F309" s="456">
        <f>SUM(F306:F308)</f>
        <v>38.293336000000004</v>
      </c>
    </row>
    <row r="310" spans="1:6" ht="24">
      <c r="A310" s="396"/>
      <c r="B310" s="369" t="s">
        <v>345</v>
      </c>
      <c r="C310" s="370" t="s">
        <v>300</v>
      </c>
      <c r="D310" s="391">
        <v>0.14000000000000001</v>
      </c>
      <c r="E310" s="391">
        <v>11.87</v>
      </c>
      <c r="F310" s="400">
        <f>E310*D310</f>
        <v>1.6617999999999999</v>
      </c>
    </row>
    <row r="311" spans="1:6" ht="24">
      <c r="A311" s="396"/>
      <c r="B311" s="369" t="s">
        <v>358</v>
      </c>
      <c r="C311" s="370" t="s">
        <v>300</v>
      </c>
      <c r="D311" s="391">
        <v>0.1</v>
      </c>
      <c r="E311" s="391">
        <v>9.26</v>
      </c>
      <c r="F311" s="400">
        <f t="shared" ref="F311" si="42">E311*D311</f>
        <v>0.92600000000000005</v>
      </c>
    </row>
    <row r="312" spans="1:6">
      <c r="A312" s="396"/>
      <c r="B312" s="404"/>
      <c r="C312" s="396"/>
      <c r="D312" s="405" t="s">
        <v>302</v>
      </c>
      <c r="E312" s="392"/>
      <c r="F312" s="456">
        <f>SUM(F310:F311)</f>
        <v>2.5878000000000001</v>
      </c>
    </row>
    <row r="313" spans="1:6">
      <c r="A313" s="396"/>
      <c r="B313" s="404"/>
      <c r="C313" s="405" t="s">
        <v>303</v>
      </c>
      <c r="D313" s="396"/>
      <c r="E313" s="392"/>
      <c r="F313" s="407">
        <f>F312+F309</f>
        <v>40.881136000000005</v>
      </c>
    </row>
    <row r="314" spans="1:6">
      <c r="A314" s="396"/>
      <c r="B314" s="404"/>
      <c r="C314" s="396"/>
      <c r="D314" s="405" t="s">
        <v>304</v>
      </c>
      <c r="E314" s="392"/>
      <c r="F314" s="409">
        <f>F313</f>
        <v>40.881136000000005</v>
      </c>
    </row>
    <row r="315" spans="1:6" ht="27" customHeight="1">
      <c r="A315" s="368" t="s">
        <v>443</v>
      </c>
      <c r="B315" s="364" t="s">
        <v>145</v>
      </c>
      <c r="C315" s="365"/>
      <c r="D315" s="365"/>
      <c r="E315" s="365"/>
      <c r="F315" s="368" t="s">
        <v>4</v>
      </c>
    </row>
    <row r="316" spans="1:6">
      <c r="A316" s="460"/>
      <c r="B316" s="369" t="s">
        <v>359</v>
      </c>
      <c r="C316" s="370" t="s">
        <v>295</v>
      </c>
      <c r="D316" s="395">
        <v>0.187499</v>
      </c>
      <c r="E316" s="391">
        <v>8.57</v>
      </c>
      <c r="F316" s="400">
        <f t="shared" ref="F316:F324" si="43">E316*D316</f>
        <v>1.60686643</v>
      </c>
    </row>
    <row r="317" spans="1:6">
      <c r="A317" s="460"/>
      <c r="B317" s="369" t="s">
        <v>438</v>
      </c>
      <c r="C317" s="370" t="s">
        <v>295</v>
      </c>
      <c r="D317" s="394">
        <v>10.203499000000001</v>
      </c>
      <c r="E317" s="391">
        <v>0.55000000000000004</v>
      </c>
      <c r="F317" s="400">
        <f t="shared" si="43"/>
        <v>5.611924450000001</v>
      </c>
    </row>
    <row r="318" spans="1:6">
      <c r="A318" s="460"/>
      <c r="B318" s="369" t="s">
        <v>352</v>
      </c>
      <c r="C318" s="370" t="s">
        <v>297</v>
      </c>
      <c r="D318" s="394">
        <v>0.20499999999999999</v>
      </c>
      <c r="E318" s="391">
        <v>50</v>
      </c>
      <c r="F318" s="400">
        <f t="shared" si="43"/>
        <v>10.25</v>
      </c>
    </row>
    <row r="319" spans="1:6">
      <c r="A319" s="396"/>
      <c r="B319" s="369" t="s">
        <v>331</v>
      </c>
      <c r="C319" s="370" t="s">
        <v>295</v>
      </c>
      <c r="D319" s="394">
        <v>55.307000000000002</v>
      </c>
      <c r="E319" s="391">
        <v>0.5</v>
      </c>
      <c r="F319" s="400">
        <f t="shared" si="43"/>
        <v>27.653500000000001</v>
      </c>
    </row>
    <row r="320" spans="1:6" ht="24">
      <c r="A320" s="396"/>
      <c r="B320" s="369" t="s">
        <v>439</v>
      </c>
      <c r="C320" s="370" t="s">
        <v>297</v>
      </c>
      <c r="D320" s="394">
        <v>0.25449899999999998</v>
      </c>
      <c r="E320" s="391">
        <v>54.38</v>
      </c>
      <c r="F320" s="400">
        <f t="shared" si="43"/>
        <v>13.839655619999998</v>
      </c>
    </row>
    <row r="321" spans="1:6" ht="36">
      <c r="A321" s="396"/>
      <c r="B321" s="369" t="s">
        <v>440</v>
      </c>
      <c r="C321" s="370" t="s">
        <v>297</v>
      </c>
      <c r="D321" s="394">
        <v>3.2499E-2</v>
      </c>
      <c r="E321" s="391">
        <v>54.38</v>
      </c>
      <c r="F321" s="400">
        <f t="shared" si="43"/>
        <v>1.7672956200000001</v>
      </c>
    </row>
    <row r="322" spans="1:6">
      <c r="A322" s="396"/>
      <c r="B322" s="369" t="s">
        <v>441</v>
      </c>
      <c r="C322" s="370" t="s">
        <v>4</v>
      </c>
      <c r="D322" s="413">
        <v>1222.49999</v>
      </c>
      <c r="E322" s="391">
        <v>0.24</v>
      </c>
      <c r="F322" s="400">
        <f t="shared" si="43"/>
        <v>293.39999760000001</v>
      </c>
    </row>
    <row r="323" spans="1:6">
      <c r="A323" s="396"/>
      <c r="B323" s="369" t="s">
        <v>361</v>
      </c>
      <c r="C323" s="370" t="s">
        <v>295</v>
      </c>
      <c r="D323" s="394">
        <v>10.776498999999999</v>
      </c>
      <c r="E323" s="391">
        <v>4.0999999999999996</v>
      </c>
      <c r="F323" s="400">
        <f t="shared" si="43"/>
        <v>44.183645899999995</v>
      </c>
    </row>
    <row r="324" spans="1:6" ht="48">
      <c r="A324" s="396"/>
      <c r="B324" s="369" t="s">
        <v>437</v>
      </c>
      <c r="C324" s="370" t="s">
        <v>309</v>
      </c>
      <c r="D324" s="394">
        <v>0.114999</v>
      </c>
      <c r="E324" s="391">
        <v>1.06</v>
      </c>
      <c r="F324" s="400">
        <f t="shared" si="43"/>
        <v>0.12189894000000001</v>
      </c>
    </row>
    <row r="325" spans="1:6">
      <c r="A325" s="396"/>
      <c r="B325" s="404"/>
      <c r="C325" s="396"/>
      <c r="D325" s="383" t="s">
        <v>298</v>
      </c>
      <c r="E325" s="396"/>
      <c r="F325" s="456">
        <f>SUM(F316:F324)</f>
        <v>398.43478455999997</v>
      </c>
    </row>
    <row r="326" spans="1:6">
      <c r="A326" s="396"/>
      <c r="B326" s="369" t="s">
        <v>436</v>
      </c>
      <c r="C326" s="370" t="s">
        <v>300</v>
      </c>
      <c r="D326" s="395">
        <v>0.75499899999999998</v>
      </c>
      <c r="E326" s="391">
        <v>11.87</v>
      </c>
      <c r="F326" s="400">
        <f>E326*D326</f>
        <v>8.9618381299999985</v>
      </c>
    </row>
    <row r="327" spans="1:6">
      <c r="A327" s="396"/>
      <c r="B327" s="369" t="s">
        <v>435</v>
      </c>
      <c r="C327" s="370" t="s">
        <v>300</v>
      </c>
      <c r="D327" s="395">
        <v>16.931999999999999</v>
      </c>
      <c r="E327" s="391">
        <v>15.55</v>
      </c>
      <c r="F327" s="400">
        <f t="shared" ref="F327:F328" si="44">E327*D327</f>
        <v>263.29259999999999</v>
      </c>
    </row>
    <row r="328" spans="1:6">
      <c r="A328" s="396"/>
      <c r="B328" s="369" t="s">
        <v>319</v>
      </c>
      <c r="C328" s="370" t="s">
        <v>300</v>
      </c>
      <c r="D328" s="395">
        <v>9.8294990000000002</v>
      </c>
      <c r="E328" s="391">
        <v>11.87</v>
      </c>
      <c r="F328" s="400">
        <f t="shared" si="44"/>
        <v>116.67615312999999</v>
      </c>
    </row>
    <row r="329" spans="1:6">
      <c r="A329" s="396"/>
      <c r="B329" s="369" t="s">
        <v>301</v>
      </c>
      <c r="C329" s="370" t="s">
        <v>300</v>
      </c>
      <c r="D329" s="395">
        <v>13.667499899999999</v>
      </c>
      <c r="E329" s="391">
        <v>9.26</v>
      </c>
      <c r="F329" s="400">
        <f t="shared" ref="F329" si="45">E329*D329</f>
        <v>126.561049074</v>
      </c>
    </row>
    <row r="330" spans="1:6">
      <c r="A330" s="396"/>
      <c r="B330" s="404"/>
      <c r="C330" s="396"/>
      <c r="D330" s="405" t="s">
        <v>302</v>
      </c>
      <c r="E330" s="396"/>
      <c r="F330" s="456">
        <f>SUM(F326:F329)</f>
        <v>515.49164033399995</v>
      </c>
    </row>
    <row r="331" spans="1:6">
      <c r="A331" s="396"/>
      <c r="B331" s="404"/>
      <c r="C331" s="405" t="s">
        <v>303</v>
      </c>
      <c r="D331" s="396"/>
      <c r="E331" s="396"/>
      <c r="F331" s="407">
        <f>F330+F325</f>
        <v>913.92642489399987</v>
      </c>
    </row>
    <row r="332" spans="1:6">
      <c r="A332" s="396"/>
      <c r="B332" s="404"/>
      <c r="C332" s="396"/>
      <c r="D332" s="405" t="s">
        <v>304</v>
      </c>
      <c r="E332" s="396"/>
      <c r="F332" s="409">
        <f>F331</f>
        <v>913.92642489399987</v>
      </c>
    </row>
    <row r="333" spans="1:6" ht="30.75" customHeight="1">
      <c r="A333" s="368" t="s">
        <v>444</v>
      </c>
      <c r="B333" s="364" t="s">
        <v>537</v>
      </c>
      <c r="C333" s="365"/>
      <c r="D333" s="365"/>
      <c r="E333" s="365"/>
      <c r="F333" s="368" t="s">
        <v>60</v>
      </c>
    </row>
    <row r="334" spans="1:6" ht="24">
      <c r="A334" s="396"/>
      <c r="B334" s="369" t="s">
        <v>362</v>
      </c>
      <c r="C334" s="370" t="s">
        <v>297</v>
      </c>
      <c r="D334" s="391">
        <v>0.22499</v>
      </c>
      <c r="E334" s="388">
        <v>23.61</v>
      </c>
      <c r="F334" s="400">
        <f>E334*D334</f>
        <v>5.3120139000000002</v>
      </c>
    </row>
    <row r="335" spans="1:6" ht="36">
      <c r="A335" s="396"/>
      <c r="B335" s="369" t="s">
        <v>363</v>
      </c>
      <c r="C335" s="370" t="s">
        <v>297</v>
      </c>
      <c r="D335" s="414">
        <v>5.2498999999999997E-2</v>
      </c>
      <c r="E335" s="397">
        <v>284.57</v>
      </c>
      <c r="F335" s="373">
        <f>E335*D335</f>
        <v>14.939640429999999</v>
      </c>
    </row>
    <row r="336" spans="1:6">
      <c r="A336" s="396"/>
      <c r="B336" s="404"/>
      <c r="C336" s="396"/>
      <c r="D336" s="383" t="s">
        <v>298</v>
      </c>
      <c r="E336" s="396"/>
      <c r="F336" s="456">
        <f>SUM(F334:F335)</f>
        <v>20.251654330000001</v>
      </c>
    </row>
    <row r="337" spans="1:6">
      <c r="A337" s="396"/>
      <c r="B337" s="369" t="s">
        <v>301</v>
      </c>
      <c r="C337" s="370" t="s">
        <v>300</v>
      </c>
      <c r="D337" s="398">
        <v>1.3499449E-2</v>
      </c>
      <c r="E337" s="391">
        <v>9.26</v>
      </c>
      <c r="F337" s="400">
        <f t="shared" ref="F337" si="46">E337*D337</f>
        <v>0.12500489774000001</v>
      </c>
    </row>
    <row r="338" spans="1:6">
      <c r="A338" s="396"/>
      <c r="B338" s="404"/>
      <c r="C338" s="396"/>
      <c r="D338" s="405" t="s">
        <v>302</v>
      </c>
      <c r="E338" s="396"/>
      <c r="F338" s="456">
        <f>SUM(F337:F337)</f>
        <v>0.12500489774000001</v>
      </c>
    </row>
    <row r="339" spans="1:6">
      <c r="A339" s="396"/>
      <c r="B339" s="404"/>
      <c r="C339" s="405" t="s">
        <v>303</v>
      </c>
      <c r="D339" s="396"/>
      <c r="E339" s="396"/>
      <c r="F339" s="407">
        <v>20.399999999999999</v>
      </c>
    </row>
    <row r="340" spans="1:6">
      <c r="A340" s="396"/>
      <c r="B340" s="404"/>
      <c r="C340" s="396"/>
      <c r="D340" s="405" t="s">
        <v>304</v>
      </c>
      <c r="E340" s="396"/>
      <c r="F340" s="409">
        <f>F339</f>
        <v>20.399999999999999</v>
      </c>
    </row>
    <row r="341" spans="1:6">
      <c r="A341" s="368" t="s">
        <v>445</v>
      </c>
      <c r="B341" s="364" t="s">
        <v>516</v>
      </c>
      <c r="C341" s="365"/>
      <c r="D341" s="366"/>
      <c r="E341" s="365"/>
      <c r="F341" s="368" t="s">
        <v>290</v>
      </c>
    </row>
    <row r="342" spans="1:6" ht="25.5" customHeight="1">
      <c r="A342" s="396"/>
      <c r="B342" s="369" t="s">
        <v>538</v>
      </c>
      <c r="C342" s="370" t="s">
        <v>297</v>
      </c>
      <c r="D342" s="395">
        <v>4.3400000000000001E-2</v>
      </c>
      <c r="E342" s="391">
        <v>301.08</v>
      </c>
      <c r="F342" s="400">
        <f>E342*D342</f>
        <v>13.066872</v>
      </c>
    </row>
    <row r="343" spans="1:6" ht="24.75" customHeight="1">
      <c r="A343" s="396"/>
      <c r="B343" s="369" t="s">
        <v>539</v>
      </c>
      <c r="C343" s="370" t="s">
        <v>297</v>
      </c>
      <c r="D343" s="395">
        <v>4.3400000000000001E-2</v>
      </c>
      <c r="E343" s="391">
        <v>61.27</v>
      </c>
      <c r="F343" s="400">
        <f>E343*D343</f>
        <v>2.6591180000000003</v>
      </c>
    </row>
    <row r="344" spans="1:6" ht="36">
      <c r="A344" s="396"/>
      <c r="B344" s="369" t="s">
        <v>540</v>
      </c>
      <c r="C344" s="370" t="s">
        <v>290</v>
      </c>
      <c r="D344" s="413">
        <v>1.0014000000000001</v>
      </c>
      <c r="E344" s="391">
        <v>33.18</v>
      </c>
      <c r="F344" s="400">
        <f t="shared" ref="F344" si="47">E344*D344</f>
        <v>33.226452000000002</v>
      </c>
    </row>
    <row r="345" spans="1:6">
      <c r="A345" s="396"/>
      <c r="B345" s="369" t="s">
        <v>546</v>
      </c>
      <c r="C345" s="370" t="s">
        <v>295</v>
      </c>
      <c r="D345" s="395">
        <v>0.47099999999999997</v>
      </c>
      <c r="E345" s="391"/>
      <c r="F345" s="400"/>
    </row>
    <row r="346" spans="1:6" ht="36">
      <c r="A346" s="396"/>
      <c r="B346" s="369" t="s">
        <v>541</v>
      </c>
      <c r="C346" s="370" t="s">
        <v>60</v>
      </c>
      <c r="D346" s="391">
        <v>0.2949</v>
      </c>
      <c r="E346" s="391">
        <v>4.59</v>
      </c>
      <c r="F346" s="400">
        <f t="shared" ref="F346:F347" si="48">E346*D346</f>
        <v>1.353591</v>
      </c>
    </row>
    <row r="347" spans="1:6" ht="36">
      <c r="A347" s="396"/>
      <c r="B347" s="369" t="s">
        <v>542</v>
      </c>
      <c r="C347" s="370" t="s">
        <v>543</v>
      </c>
      <c r="D347" s="391">
        <v>0.1749</v>
      </c>
      <c r="E347" s="391">
        <v>13.11</v>
      </c>
      <c r="F347" s="400">
        <f t="shared" si="48"/>
        <v>2.2929390000000001</v>
      </c>
    </row>
    <row r="348" spans="1:6">
      <c r="A348" s="396"/>
      <c r="B348" s="369" t="s">
        <v>544</v>
      </c>
      <c r="C348" s="370" t="s">
        <v>295</v>
      </c>
      <c r="D348" s="371">
        <v>3.4000000000000002E-2</v>
      </c>
      <c r="E348" s="372">
        <v>8.01</v>
      </c>
      <c r="F348" s="373">
        <f>E348*D348</f>
        <v>0.27234000000000003</v>
      </c>
    </row>
    <row r="349" spans="1:6">
      <c r="A349" s="396"/>
      <c r="B349" s="404"/>
      <c r="C349" s="396"/>
      <c r="D349" s="383" t="s">
        <v>298</v>
      </c>
      <c r="E349" s="396"/>
      <c r="F349" s="385">
        <f>SUM(F342:F348)</f>
        <v>52.871312000000003</v>
      </c>
    </row>
    <row r="350" spans="1:6">
      <c r="A350" s="396"/>
      <c r="B350" s="369" t="s">
        <v>319</v>
      </c>
      <c r="C350" s="370" t="s">
        <v>300</v>
      </c>
      <c r="D350" s="391">
        <v>0.4</v>
      </c>
      <c r="E350" s="391">
        <v>12.09</v>
      </c>
      <c r="F350" s="400">
        <f>E350*D350</f>
        <v>4.8360000000000003</v>
      </c>
    </row>
    <row r="351" spans="1:6">
      <c r="A351" s="396"/>
      <c r="B351" s="369" t="s">
        <v>545</v>
      </c>
      <c r="C351" s="370" t="s">
        <v>300</v>
      </c>
      <c r="D351" s="391">
        <v>0.16</v>
      </c>
      <c r="E351" s="391">
        <v>12.09</v>
      </c>
      <c r="F351" s="400">
        <f>E351*D351</f>
        <v>1.9344000000000001</v>
      </c>
    </row>
    <row r="352" spans="1:6" ht="27" customHeight="1">
      <c r="A352" s="396"/>
      <c r="B352" s="369" t="s">
        <v>547</v>
      </c>
      <c r="C352" s="370" t="s">
        <v>300</v>
      </c>
      <c r="D352" s="391">
        <v>0.16</v>
      </c>
      <c r="E352" s="391">
        <v>9.11</v>
      </c>
      <c r="F352" s="400"/>
    </row>
    <row r="353" spans="1:6">
      <c r="A353" s="396"/>
      <c r="B353" s="369" t="s">
        <v>301</v>
      </c>
      <c r="C353" s="370" t="s">
        <v>300</v>
      </c>
      <c r="D353" s="391">
        <v>0.44</v>
      </c>
      <c r="E353" s="391">
        <v>9.11</v>
      </c>
      <c r="F353" s="400">
        <f t="shared" ref="F353" si="49">E353*D353</f>
        <v>4.0084</v>
      </c>
    </row>
    <row r="354" spans="1:6">
      <c r="A354" s="396"/>
      <c r="B354" s="404"/>
      <c r="C354" s="396"/>
      <c r="D354" s="383" t="s">
        <v>302</v>
      </c>
      <c r="E354" s="396"/>
      <c r="F354" s="399">
        <f>SUM(F350:F353)</f>
        <v>10.7788</v>
      </c>
    </row>
    <row r="355" spans="1:6">
      <c r="A355" s="396"/>
      <c r="B355" s="404"/>
      <c r="C355" s="405" t="s">
        <v>303</v>
      </c>
      <c r="D355" s="490"/>
      <c r="E355" s="396"/>
      <c r="F355" s="407">
        <f>F354+F349</f>
        <v>63.650112000000007</v>
      </c>
    </row>
    <row r="356" spans="1:6">
      <c r="A356" s="396"/>
      <c r="B356" s="404"/>
      <c r="C356" s="396"/>
      <c r="D356" s="408" t="s">
        <v>304</v>
      </c>
      <c r="E356" s="396"/>
      <c r="F356" s="409">
        <f>F355</f>
        <v>63.650112000000007</v>
      </c>
    </row>
    <row r="357" spans="1:6">
      <c r="A357" s="368" t="s">
        <v>548</v>
      </c>
      <c r="B357" s="364" t="s">
        <v>95</v>
      </c>
      <c r="C357" s="401"/>
      <c r="D357" s="401"/>
      <c r="E357" s="401"/>
      <c r="F357" s="368" t="s">
        <v>297</v>
      </c>
    </row>
    <row r="358" spans="1:6">
      <c r="A358" s="379"/>
      <c r="B358" s="386" t="s">
        <v>461</v>
      </c>
      <c r="C358" s="387" t="s">
        <v>300</v>
      </c>
      <c r="D358" s="388">
        <v>1</v>
      </c>
      <c r="E358" s="388">
        <v>115.95</v>
      </c>
      <c r="F358" s="373">
        <f>E358*D358</f>
        <v>115.95</v>
      </c>
    </row>
    <row r="359" spans="1:6">
      <c r="A359" s="379"/>
      <c r="B359" s="386" t="s">
        <v>463</v>
      </c>
      <c r="C359" s="387" t="s">
        <v>300</v>
      </c>
      <c r="D359" s="388">
        <v>0.24</v>
      </c>
      <c r="E359" s="388">
        <v>148.41</v>
      </c>
      <c r="F359" s="373">
        <f t="shared" ref="F359:F360" si="50">E359*D359</f>
        <v>35.618400000000001</v>
      </c>
    </row>
    <row r="360" spans="1:6">
      <c r="A360" s="379"/>
      <c r="B360" s="386" t="s">
        <v>462</v>
      </c>
      <c r="C360" s="387"/>
      <c r="D360" s="388">
        <v>0.56000000000000005</v>
      </c>
      <c r="E360" s="388">
        <v>121.1</v>
      </c>
      <c r="F360" s="373">
        <f t="shared" si="50"/>
        <v>67.816000000000003</v>
      </c>
    </row>
    <row r="361" spans="1:6">
      <c r="A361" s="379"/>
      <c r="B361" s="378"/>
      <c r="C361" s="418"/>
      <c r="D361" s="375" t="s">
        <v>364</v>
      </c>
      <c r="E361" s="418"/>
      <c r="F361" s="399">
        <v>240.27</v>
      </c>
    </row>
    <row r="362" spans="1:6">
      <c r="A362" s="379"/>
      <c r="B362" s="386" t="s">
        <v>365</v>
      </c>
      <c r="C362" s="370" t="s">
        <v>300</v>
      </c>
      <c r="D362" s="398">
        <v>1</v>
      </c>
      <c r="E362" s="391">
        <v>21.55</v>
      </c>
      <c r="F362" s="400">
        <f>E362*D362</f>
        <v>21.55</v>
      </c>
    </row>
    <row r="363" spans="1:6">
      <c r="A363" s="379"/>
      <c r="B363" s="378" t="s">
        <v>366</v>
      </c>
      <c r="C363" s="370" t="s">
        <v>300</v>
      </c>
      <c r="D363" s="398">
        <v>3</v>
      </c>
      <c r="E363" s="391">
        <v>7.52</v>
      </c>
      <c r="F363" s="400">
        <f>E363*D363</f>
        <v>22.56</v>
      </c>
    </row>
    <row r="364" spans="1:6">
      <c r="A364" s="379"/>
      <c r="B364" s="378"/>
      <c r="C364" s="418"/>
      <c r="D364" s="375" t="s">
        <v>302</v>
      </c>
      <c r="E364" s="418"/>
      <c r="F364" s="399">
        <f>SUM(F362:F363)+0.01</f>
        <v>44.12</v>
      </c>
    </row>
    <row r="365" spans="1:6">
      <c r="A365" s="379"/>
      <c r="B365" s="378"/>
      <c r="C365" s="418"/>
      <c r="D365" s="375"/>
      <c r="E365" s="418"/>
      <c r="F365" s="421"/>
    </row>
    <row r="366" spans="1:6">
      <c r="A366" s="379"/>
      <c r="B366" s="378"/>
      <c r="C366" s="420" t="s">
        <v>367</v>
      </c>
      <c r="D366" s="417"/>
      <c r="E366" s="418"/>
      <c r="F366" s="422">
        <f>F364+F361</f>
        <v>284.39</v>
      </c>
    </row>
    <row r="367" spans="1:6">
      <c r="A367" s="379"/>
      <c r="B367" s="378"/>
      <c r="C367" s="420" t="s">
        <v>368</v>
      </c>
      <c r="D367" s="417"/>
      <c r="E367" s="418"/>
      <c r="F367" s="422">
        <v>5.87</v>
      </c>
    </row>
    <row r="368" spans="1:6">
      <c r="A368" s="392"/>
      <c r="B368" s="378" t="s">
        <v>369</v>
      </c>
      <c r="C368" s="416" t="s">
        <v>370</v>
      </c>
      <c r="D368" s="417">
        <v>1</v>
      </c>
      <c r="E368" s="418">
        <v>0.01</v>
      </c>
      <c r="F368" s="400">
        <f>E368*D368</f>
        <v>0.01</v>
      </c>
    </row>
    <row r="369" spans="1:6">
      <c r="A369" s="392"/>
      <c r="B369" s="378" t="s">
        <v>371</v>
      </c>
      <c r="C369" s="416" t="s">
        <v>372</v>
      </c>
      <c r="D369" s="417">
        <v>0.7</v>
      </c>
      <c r="E369" s="418">
        <v>0.82</v>
      </c>
      <c r="F369" s="400">
        <f t="shared" ref="F369:F370" si="51">E369*D369</f>
        <v>0.57399999999999995</v>
      </c>
    </row>
    <row r="370" spans="1:6">
      <c r="A370" s="392"/>
      <c r="B370" s="378" t="s">
        <v>373</v>
      </c>
      <c r="C370" s="416" t="s">
        <v>370</v>
      </c>
      <c r="D370" s="417">
        <v>0.2</v>
      </c>
      <c r="E370" s="418">
        <v>4.43</v>
      </c>
      <c r="F370" s="400">
        <f t="shared" si="51"/>
        <v>0.88600000000000001</v>
      </c>
    </row>
    <row r="371" spans="1:6">
      <c r="A371" s="392"/>
      <c r="B371" s="378"/>
      <c r="C371" s="420" t="s">
        <v>374</v>
      </c>
      <c r="D371" s="417"/>
      <c r="E371" s="418"/>
      <c r="F371" s="399">
        <f>SUM(F368:F370)</f>
        <v>1.47</v>
      </c>
    </row>
    <row r="372" spans="1:6">
      <c r="A372" s="392"/>
      <c r="B372" s="378"/>
      <c r="C372" s="420" t="s">
        <v>375</v>
      </c>
      <c r="D372" s="417"/>
      <c r="E372" s="418"/>
      <c r="F372" s="399">
        <f>F367+F371</f>
        <v>7.34</v>
      </c>
    </row>
    <row r="373" spans="1:6" ht="36">
      <c r="A373" s="368" t="s">
        <v>549</v>
      </c>
      <c r="B373" s="364" t="s">
        <v>465</v>
      </c>
      <c r="C373" s="401"/>
      <c r="D373" s="401"/>
      <c r="E373" s="367"/>
      <c r="F373" s="368" t="s">
        <v>90</v>
      </c>
    </row>
    <row r="374" spans="1:6" ht="54" customHeight="1">
      <c r="A374" s="418"/>
      <c r="B374" s="386" t="s">
        <v>310</v>
      </c>
      <c r="C374" s="389" t="s">
        <v>300</v>
      </c>
      <c r="D374" s="390">
        <v>3.27E-2</v>
      </c>
      <c r="E374" s="382">
        <v>127.54</v>
      </c>
      <c r="F374" s="373">
        <f>E374*D374</f>
        <v>4.1705579999999998</v>
      </c>
    </row>
    <row r="375" spans="1:6">
      <c r="A375" s="418"/>
      <c r="B375" s="378"/>
      <c r="C375" s="418"/>
      <c r="D375" s="420" t="s">
        <v>298</v>
      </c>
      <c r="E375" s="448"/>
      <c r="F375" s="422">
        <f>SUM(F374:F374)</f>
        <v>4.1705579999999998</v>
      </c>
    </row>
    <row r="376" spans="1:6">
      <c r="A376" s="418"/>
      <c r="B376" s="378"/>
      <c r="C376" s="418"/>
      <c r="D376" s="420" t="s">
        <v>304</v>
      </c>
      <c r="E376" s="448"/>
      <c r="F376" s="380">
        <f>F375</f>
        <v>4.1705579999999998</v>
      </c>
    </row>
    <row r="377" spans="1:6">
      <c r="A377" s="368" t="s">
        <v>562</v>
      </c>
      <c r="B377" s="364" t="s">
        <v>243</v>
      </c>
      <c r="C377" s="401"/>
      <c r="D377" s="401"/>
      <c r="E377" s="455"/>
      <c r="F377" s="368" t="s">
        <v>290</v>
      </c>
    </row>
    <row r="378" spans="1:6" ht="36">
      <c r="A378" s="418"/>
      <c r="B378" s="369" t="s">
        <v>308</v>
      </c>
      <c r="C378" s="370" t="s">
        <v>309</v>
      </c>
      <c r="D378" s="514">
        <v>1.17E-3</v>
      </c>
      <c r="E378" s="382">
        <v>147.24</v>
      </c>
      <c r="F378" s="373">
        <f t="shared" ref="F378" si="52">E378*D378</f>
        <v>0.1722708</v>
      </c>
    </row>
    <row r="379" spans="1:6">
      <c r="A379" s="418"/>
      <c r="B379" s="374"/>
      <c r="C379" s="370"/>
      <c r="D379" s="383" t="s">
        <v>298</v>
      </c>
      <c r="E379" s="384"/>
      <c r="F379" s="385">
        <f>SUM(F378)</f>
        <v>0.1722708</v>
      </c>
    </row>
    <row r="380" spans="1:6">
      <c r="A380" s="418"/>
      <c r="B380" s="386" t="s">
        <v>301</v>
      </c>
      <c r="C380" s="387" t="s">
        <v>300</v>
      </c>
      <c r="D380" s="410">
        <v>2.3697000000000002E-3</v>
      </c>
      <c r="E380" s="382">
        <v>9.26</v>
      </c>
      <c r="F380" s="373">
        <f>E380*D380</f>
        <v>2.1943422000000001E-2</v>
      </c>
    </row>
    <row r="381" spans="1:6">
      <c r="A381" s="418"/>
      <c r="B381" s="378"/>
      <c r="C381" s="418"/>
      <c r="D381" s="420" t="s">
        <v>302</v>
      </c>
      <c r="E381" s="376"/>
      <c r="F381" s="452">
        <f>SUM(F380)</f>
        <v>2.1943422000000001E-2</v>
      </c>
    </row>
    <row r="382" spans="1:6">
      <c r="A382" s="418"/>
      <c r="B382" s="378"/>
      <c r="C382" s="420" t="s">
        <v>303</v>
      </c>
      <c r="D382" s="418"/>
      <c r="E382" s="376"/>
      <c r="F382" s="422">
        <f>F379+F381</f>
        <v>0.19421422199999999</v>
      </c>
    </row>
    <row r="383" spans="1:6">
      <c r="A383" s="418"/>
      <c r="B383" s="378"/>
      <c r="C383" s="418"/>
      <c r="D383" s="420" t="s">
        <v>304</v>
      </c>
      <c r="E383" s="376"/>
      <c r="F383" s="380">
        <f>F382</f>
        <v>0.19421422199999999</v>
      </c>
    </row>
    <row r="384" spans="1:6">
      <c r="A384" s="368" t="s">
        <v>563</v>
      </c>
      <c r="B384" s="364" t="s">
        <v>97</v>
      </c>
      <c r="C384" s="401"/>
      <c r="D384" s="402"/>
      <c r="E384" s="365"/>
      <c r="F384" s="403" t="s">
        <v>376</v>
      </c>
    </row>
    <row r="385" spans="1:6">
      <c r="A385" s="379"/>
      <c r="B385" s="369" t="s">
        <v>377</v>
      </c>
      <c r="C385" s="370" t="s">
        <v>325</v>
      </c>
      <c r="D385" s="391">
        <v>2.5017999999999998</v>
      </c>
      <c r="E385" s="391">
        <v>35.619999999999997</v>
      </c>
      <c r="F385" s="400">
        <f>E385*D385</f>
        <v>89.114115999999981</v>
      </c>
    </row>
    <row r="386" spans="1:6">
      <c r="A386" s="396"/>
      <c r="B386" s="404"/>
      <c r="C386" s="396"/>
      <c r="D386" s="383" t="s">
        <v>298</v>
      </c>
      <c r="E386" s="392"/>
      <c r="F386" s="385">
        <f>F385</f>
        <v>89.114115999999981</v>
      </c>
    </row>
    <row r="387" spans="1:6">
      <c r="A387" s="396"/>
      <c r="B387" s="369" t="s">
        <v>301</v>
      </c>
      <c r="C387" s="370" t="s">
        <v>300</v>
      </c>
      <c r="D387" s="391">
        <v>20</v>
      </c>
      <c r="E387" s="391">
        <v>9.26</v>
      </c>
      <c r="F387" s="400">
        <f t="shared" ref="F387" si="53">E387*D387</f>
        <v>185.2</v>
      </c>
    </row>
    <row r="388" spans="1:6">
      <c r="A388" s="396"/>
      <c r="B388" s="404"/>
      <c r="C388" s="396"/>
      <c r="D388" s="383" t="s">
        <v>302</v>
      </c>
      <c r="E388" s="392"/>
      <c r="F388" s="399">
        <f>SUM(F387:F387)</f>
        <v>185.2</v>
      </c>
    </row>
    <row r="389" spans="1:6">
      <c r="A389" s="396"/>
      <c r="B389" s="404"/>
      <c r="C389" s="405" t="s">
        <v>303</v>
      </c>
      <c r="D389" s="406"/>
      <c r="E389" s="392"/>
      <c r="F389" s="407">
        <f>F388+F386</f>
        <v>274.31411599999996</v>
      </c>
    </row>
    <row r="390" spans="1:6">
      <c r="A390" s="396"/>
      <c r="B390" s="404"/>
      <c r="C390" s="396"/>
      <c r="D390" s="408" t="s">
        <v>304</v>
      </c>
      <c r="E390" s="392"/>
      <c r="F390" s="409">
        <f>F389</f>
        <v>274.31411599999996</v>
      </c>
    </row>
    <row r="391" spans="1:6">
      <c r="A391" s="368" t="s">
        <v>564</v>
      </c>
      <c r="B391" s="364" t="s">
        <v>110</v>
      </c>
      <c r="C391" s="401"/>
      <c r="D391" s="401"/>
      <c r="E391" s="365"/>
      <c r="F391" s="368" t="s">
        <v>290</v>
      </c>
    </row>
    <row r="392" spans="1:6">
      <c r="A392" s="460"/>
      <c r="B392" s="369" t="s">
        <v>378</v>
      </c>
      <c r="C392" s="370" t="s">
        <v>297</v>
      </c>
      <c r="D392" s="394">
        <v>8.9999999999999993E-3</v>
      </c>
      <c r="E392" s="391">
        <v>141.91</v>
      </c>
      <c r="F392" s="400">
        <f>E392*D392</f>
        <v>1.2771899999999998</v>
      </c>
    </row>
    <row r="393" spans="1:6">
      <c r="A393" s="396"/>
      <c r="B393" s="369" t="s">
        <v>458</v>
      </c>
      <c r="C393" s="370" t="s">
        <v>290</v>
      </c>
      <c r="D393" s="394">
        <v>1</v>
      </c>
      <c r="E393" s="395">
        <v>8.9899899899999998</v>
      </c>
      <c r="F393" s="400">
        <f t="shared" ref="F393:F395" si="54">E393*D393</f>
        <v>8.9899899899999998</v>
      </c>
    </row>
    <row r="394" spans="1:6">
      <c r="A394" s="396"/>
      <c r="B394" s="369" t="s">
        <v>379</v>
      </c>
      <c r="C394" s="370" t="s">
        <v>332</v>
      </c>
      <c r="D394" s="394">
        <v>0.03</v>
      </c>
      <c r="E394" s="391">
        <v>1.7</v>
      </c>
      <c r="F394" s="400">
        <f t="shared" si="54"/>
        <v>5.0999999999999997E-2</v>
      </c>
    </row>
    <row r="395" spans="1:6" ht="24">
      <c r="A395" s="396"/>
      <c r="B395" s="369" t="s">
        <v>380</v>
      </c>
      <c r="C395" s="370" t="s">
        <v>332</v>
      </c>
      <c r="D395" s="394">
        <v>0.08</v>
      </c>
      <c r="E395" s="391">
        <v>7.0000000000000007E-2</v>
      </c>
      <c r="F395" s="400">
        <f t="shared" si="54"/>
        <v>5.6000000000000008E-3</v>
      </c>
    </row>
    <row r="396" spans="1:6">
      <c r="A396" s="396"/>
      <c r="B396" s="404"/>
      <c r="C396" s="396"/>
      <c r="D396" s="383" t="s">
        <v>298</v>
      </c>
      <c r="E396" s="396"/>
      <c r="F396" s="456">
        <f>SUM(F392:F395)</f>
        <v>10.323779989999998</v>
      </c>
    </row>
    <row r="397" spans="1:6">
      <c r="A397" s="396"/>
      <c r="B397" s="369" t="s">
        <v>381</v>
      </c>
      <c r="C397" s="370" t="s">
        <v>300</v>
      </c>
      <c r="D397" s="391">
        <v>5.1998999999999997E-2</v>
      </c>
      <c r="E397" s="391">
        <v>9.4</v>
      </c>
      <c r="F397" s="400">
        <f>E397*D397</f>
        <v>0.48879059999999996</v>
      </c>
    </row>
    <row r="398" spans="1:6">
      <c r="A398" s="396"/>
      <c r="B398" s="369" t="s">
        <v>301</v>
      </c>
      <c r="C398" s="370" t="s">
        <v>300</v>
      </c>
      <c r="D398" s="391">
        <v>0.10100000000000001</v>
      </c>
      <c r="E398" s="391">
        <v>9.26</v>
      </c>
      <c r="F398" s="400">
        <f t="shared" ref="F398" si="55">E398*D398</f>
        <v>0.93526000000000009</v>
      </c>
    </row>
    <row r="399" spans="1:6">
      <c r="A399" s="396"/>
      <c r="B399" s="404"/>
      <c r="C399" s="396"/>
      <c r="D399" s="405" t="s">
        <v>302</v>
      </c>
      <c r="E399" s="392"/>
      <c r="F399" s="456">
        <f>SUM(F397:F398)</f>
        <v>1.4240506000000002</v>
      </c>
    </row>
    <row r="400" spans="1:6">
      <c r="A400" s="396"/>
      <c r="B400" s="404"/>
      <c r="C400" s="405" t="s">
        <v>303</v>
      </c>
      <c r="D400" s="396"/>
      <c r="E400" s="392"/>
      <c r="F400" s="407">
        <f>F399+F396</f>
        <v>11.74783059</v>
      </c>
    </row>
    <row r="401" spans="1:6">
      <c r="A401" s="396"/>
      <c r="B401" s="404"/>
      <c r="C401" s="396"/>
      <c r="D401" s="405" t="s">
        <v>304</v>
      </c>
      <c r="E401" s="392"/>
      <c r="F401" s="409">
        <f>F400</f>
        <v>11.74783059</v>
      </c>
    </row>
    <row r="402" spans="1:6" ht="24">
      <c r="A402" s="368" t="s">
        <v>403</v>
      </c>
      <c r="B402" s="364" t="s">
        <v>383</v>
      </c>
      <c r="C402" s="365"/>
      <c r="D402" s="365"/>
      <c r="E402" s="367"/>
      <c r="F402" s="368" t="s">
        <v>297</v>
      </c>
    </row>
    <row r="403" spans="1:6">
      <c r="A403" s="418"/>
      <c r="B403" s="369" t="s">
        <v>313</v>
      </c>
      <c r="C403" s="417" t="s">
        <v>314</v>
      </c>
      <c r="D403" s="461">
        <v>2.4009999999999998</v>
      </c>
      <c r="E403" s="382">
        <v>9.26</v>
      </c>
      <c r="F403" s="373">
        <f t="shared" ref="F403" si="56">E403*D403</f>
        <v>22.233259999999998</v>
      </c>
    </row>
    <row r="404" spans="1:6">
      <c r="A404" s="418"/>
      <c r="B404" s="378"/>
      <c r="C404" s="418"/>
      <c r="D404" s="420" t="s">
        <v>302</v>
      </c>
      <c r="E404" s="376"/>
      <c r="F404" s="452">
        <f>SUM(F403:F403)</f>
        <v>22.233259999999998</v>
      </c>
    </row>
    <row r="405" spans="1:6">
      <c r="A405" s="418"/>
      <c r="B405" s="378"/>
      <c r="C405" s="420" t="s">
        <v>303</v>
      </c>
      <c r="D405" s="418"/>
      <c r="E405" s="376"/>
      <c r="F405" s="422">
        <f>F404</f>
        <v>22.233259999999998</v>
      </c>
    </row>
    <row r="406" spans="1:6">
      <c r="A406" s="418"/>
      <c r="B406" s="378"/>
      <c r="C406" s="418"/>
      <c r="D406" s="420" t="s">
        <v>304</v>
      </c>
      <c r="E406" s="376"/>
      <c r="F406" s="380">
        <f>F405</f>
        <v>22.233259999999998</v>
      </c>
    </row>
    <row r="407" spans="1:6" ht="24">
      <c r="A407" s="368" t="s">
        <v>406</v>
      </c>
      <c r="B407" s="364" t="s">
        <v>81</v>
      </c>
      <c r="C407" s="365"/>
      <c r="D407" s="365"/>
      <c r="E407" s="365"/>
      <c r="F407" s="368" t="s">
        <v>4</v>
      </c>
    </row>
    <row r="408" spans="1:6">
      <c r="A408" s="396"/>
      <c r="B408" s="369" t="s">
        <v>331</v>
      </c>
      <c r="C408" s="370" t="s">
        <v>332</v>
      </c>
      <c r="D408" s="413">
        <v>1.5</v>
      </c>
      <c r="E408" s="391">
        <v>0.5</v>
      </c>
      <c r="F408" s="400">
        <f>E408*D408</f>
        <v>0.75</v>
      </c>
    </row>
    <row r="409" spans="1:6">
      <c r="A409" s="396"/>
      <c r="B409" s="369" t="s">
        <v>333</v>
      </c>
      <c r="C409" s="370" t="s">
        <v>297</v>
      </c>
      <c r="D409" s="414">
        <v>1.5E-3</v>
      </c>
      <c r="E409" s="372">
        <v>52.8</v>
      </c>
      <c r="F409" s="373">
        <f>E409*D409</f>
        <v>7.9199999999999993E-2</v>
      </c>
    </row>
    <row r="410" spans="1:6" ht="24">
      <c r="A410" s="396"/>
      <c r="B410" s="369" t="s">
        <v>385</v>
      </c>
      <c r="C410" s="370" t="s">
        <v>4</v>
      </c>
      <c r="D410" s="381">
        <v>0.99860000000000004</v>
      </c>
      <c r="E410" s="372">
        <v>106.98</v>
      </c>
      <c r="F410" s="373">
        <f t="shared" ref="F410" si="57">E410*D410</f>
        <v>106.83022800000001</v>
      </c>
    </row>
    <row r="411" spans="1:6">
      <c r="A411" s="396"/>
      <c r="B411" s="404"/>
      <c r="C411" s="396"/>
      <c r="D411" s="383" t="s">
        <v>298</v>
      </c>
      <c r="E411" s="396"/>
      <c r="F411" s="456">
        <f>SUM(F408:F410)</f>
        <v>107.65942800000001</v>
      </c>
    </row>
    <row r="412" spans="1:6" ht="24">
      <c r="A412" s="396"/>
      <c r="B412" s="369" t="s">
        <v>386</v>
      </c>
      <c r="C412" s="370" t="s">
        <v>300</v>
      </c>
      <c r="D412" s="391">
        <v>1</v>
      </c>
      <c r="E412" s="391">
        <v>12.09</v>
      </c>
      <c r="F412" s="400">
        <f>E412*D412</f>
        <v>12.09</v>
      </c>
    </row>
    <row r="413" spans="1:6" ht="36">
      <c r="A413" s="396"/>
      <c r="B413" s="369" t="s">
        <v>387</v>
      </c>
      <c r="C413" s="370" t="s">
        <v>300</v>
      </c>
      <c r="D413" s="394">
        <v>1</v>
      </c>
      <c r="E413" s="391">
        <v>9.57</v>
      </c>
      <c r="F413" s="400">
        <f t="shared" ref="F413" si="58">E413*D413</f>
        <v>9.57</v>
      </c>
    </row>
    <row r="414" spans="1:6">
      <c r="A414" s="396"/>
      <c r="B414" s="369" t="s">
        <v>319</v>
      </c>
      <c r="C414" s="370" t="s">
        <v>300</v>
      </c>
      <c r="D414" s="391">
        <v>1.5</v>
      </c>
      <c r="E414" s="391">
        <v>11.87</v>
      </c>
      <c r="F414" s="400">
        <f>E414*D414</f>
        <v>17.805</v>
      </c>
    </row>
    <row r="415" spans="1:6">
      <c r="A415" s="396"/>
      <c r="B415" s="369" t="s">
        <v>301</v>
      </c>
      <c r="C415" s="370" t="s">
        <v>300</v>
      </c>
      <c r="D415" s="391">
        <v>1.498</v>
      </c>
      <c r="E415" s="391">
        <v>9.26</v>
      </c>
      <c r="F415" s="400">
        <f t="shared" ref="F415" si="59">E415*D415</f>
        <v>13.87148</v>
      </c>
    </row>
    <row r="416" spans="1:6">
      <c r="A416" s="396"/>
      <c r="B416" s="378"/>
      <c r="C416" s="418"/>
      <c r="D416" s="420" t="s">
        <v>302</v>
      </c>
      <c r="E416" s="376"/>
      <c r="F416" s="452">
        <f>SUM(F412:F415)</f>
        <v>53.336480000000002</v>
      </c>
    </row>
    <row r="417" spans="1:6">
      <c r="A417" s="396"/>
      <c r="B417" s="404"/>
      <c r="C417" s="405" t="s">
        <v>303</v>
      </c>
      <c r="D417" s="396"/>
      <c r="E417" s="392"/>
      <c r="F417" s="407">
        <f>F416+F411</f>
        <v>160.99590800000001</v>
      </c>
    </row>
    <row r="418" spans="1:6">
      <c r="A418" s="396"/>
      <c r="B418" s="404"/>
      <c r="C418" s="396"/>
      <c r="D418" s="405" t="s">
        <v>304</v>
      </c>
      <c r="E418" s="392"/>
      <c r="F418" s="409">
        <f>F417</f>
        <v>160.99590800000001</v>
      </c>
    </row>
    <row r="419" spans="1:6" ht="24">
      <c r="A419" s="368" t="s">
        <v>446</v>
      </c>
      <c r="B419" s="364" t="s">
        <v>79</v>
      </c>
      <c r="C419" s="365"/>
      <c r="D419" s="365"/>
      <c r="E419" s="365"/>
      <c r="F419" s="368" t="s">
        <v>4</v>
      </c>
    </row>
    <row r="420" spans="1:6" ht="24">
      <c r="A420" s="396"/>
      <c r="B420" s="369" t="s">
        <v>389</v>
      </c>
      <c r="C420" s="370" t="s">
        <v>4</v>
      </c>
      <c r="D420" s="413">
        <v>2.0019999999999998</v>
      </c>
      <c r="E420" s="391">
        <v>1.5</v>
      </c>
      <c r="F420" s="400">
        <f>E420*D420</f>
        <v>3.0029999999999997</v>
      </c>
    </row>
    <row r="421" spans="1:6">
      <c r="A421" s="396"/>
      <c r="B421" s="369" t="s">
        <v>390</v>
      </c>
      <c r="C421" s="370" t="s">
        <v>4</v>
      </c>
      <c r="D421" s="381">
        <v>0.6</v>
      </c>
      <c r="E421" s="372">
        <v>2.54</v>
      </c>
      <c r="F421" s="373">
        <f>E421*D421</f>
        <v>1.524</v>
      </c>
    </row>
    <row r="422" spans="1:6" ht="24">
      <c r="A422" s="396"/>
      <c r="B422" s="369" t="s">
        <v>391</v>
      </c>
      <c r="C422" s="370" t="s">
        <v>4</v>
      </c>
      <c r="D422" s="415">
        <v>1</v>
      </c>
      <c r="E422" s="372">
        <v>71.239999999999995</v>
      </c>
      <c r="F422" s="373">
        <f t="shared" ref="F422" si="60">E422*D422</f>
        <v>71.239999999999995</v>
      </c>
    </row>
    <row r="423" spans="1:6">
      <c r="A423" s="396"/>
      <c r="B423" s="404"/>
      <c r="C423" s="396"/>
      <c r="D423" s="383" t="s">
        <v>298</v>
      </c>
      <c r="E423" s="396"/>
      <c r="F423" s="456">
        <f>SUM(F420:F422)</f>
        <v>75.766999999999996</v>
      </c>
    </row>
    <row r="424" spans="1:6" ht="24">
      <c r="A424" s="396"/>
      <c r="B424" s="369" t="s">
        <v>386</v>
      </c>
      <c r="C424" s="370" t="s">
        <v>300</v>
      </c>
      <c r="D424" s="391">
        <v>0.61</v>
      </c>
      <c r="E424" s="391">
        <v>11.87</v>
      </c>
      <c r="F424" s="400">
        <f>E424*D424</f>
        <v>7.2406999999999995</v>
      </c>
    </row>
    <row r="425" spans="1:6">
      <c r="A425" s="396"/>
      <c r="B425" s="369" t="s">
        <v>301</v>
      </c>
      <c r="C425" s="370" t="s">
        <v>300</v>
      </c>
      <c r="D425" s="391">
        <v>0.61</v>
      </c>
      <c r="E425" s="391">
        <v>9.26</v>
      </c>
      <c r="F425" s="400">
        <f t="shared" ref="F425" si="61">E425*D425</f>
        <v>5.6486000000000001</v>
      </c>
    </row>
    <row r="426" spans="1:6">
      <c r="A426" s="396"/>
      <c r="B426" s="378"/>
      <c r="C426" s="418"/>
      <c r="D426" s="420" t="s">
        <v>302</v>
      </c>
      <c r="E426" s="376"/>
      <c r="F426" s="452">
        <f>SUM(F424:F425)</f>
        <v>12.889299999999999</v>
      </c>
    </row>
    <row r="427" spans="1:6">
      <c r="A427" s="396"/>
      <c r="B427" s="404"/>
      <c r="C427" s="405" t="s">
        <v>303</v>
      </c>
      <c r="D427" s="396"/>
      <c r="E427" s="392"/>
      <c r="F427" s="407">
        <f>F426+F423</f>
        <v>88.656299999999987</v>
      </c>
    </row>
    <row r="428" spans="1:6">
      <c r="A428" s="396"/>
      <c r="B428" s="404"/>
      <c r="C428" s="396"/>
      <c r="D428" s="405" t="s">
        <v>304</v>
      </c>
      <c r="E428" s="392"/>
      <c r="F428" s="409">
        <f>F427</f>
        <v>88.656299999999987</v>
      </c>
    </row>
    <row r="429" spans="1:6" ht="24">
      <c r="A429" s="368" t="s">
        <v>447</v>
      </c>
      <c r="B429" s="364" t="s">
        <v>393</v>
      </c>
      <c r="C429" s="365"/>
      <c r="D429" s="365"/>
      <c r="E429" s="365"/>
      <c r="F429" s="368" t="s">
        <v>4</v>
      </c>
    </row>
    <row r="430" spans="1:6">
      <c r="A430" s="396"/>
      <c r="B430" s="369" t="s">
        <v>394</v>
      </c>
      <c r="C430" s="370" t="s">
        <v>4</v>
      </c>
      <c r="D430" s="395">
        <v>7.0000000000000001E-3</v>
      </c>
      <c r="E430" s="391">
        <v>40.65</v>
      </c>
      <c r="F430" s="400">
        <f>E430*D430</f>
        <v>0.28454999999999997</v>
      </c>
    </row>
    <row r="431" spans="1:6">
      <c r="A431" s="396"/>
      <c r="B431" s="369" t="s">
        <v>395</v>
      </c>
      <c r="C431" s="370" t="s">
        <v>4</v>
      </c>
      <c r="D431" s="395">
        <v>8.0000000000000002E-3</v>
      </c>
      <c r="E431" s="391">
        <v>35.299999999999997</v>
      </c>
      <c r="F431" s="400">
        <f>E431*D431</f>
        <v>0.28239999999999998</v>
      </c>
    </row>
    <row r="432" spans="1:6">
      <c r="A432" s="396"/>
      <c r="B432" s="369" t="s">
        <v>396</v>
      </c>
      <c r="C432" s="370" t="s">
        <v>4</v>
      </c>
      <c r="D432" s="381">
        <v>1</v>
      </c>
      <c r="E432" s="372">
        <v>0.37</v>
      </c>
      <c r="F432" s="373">
        <f>E432*D432</f>
        <v>0.37</v>
      </c>
    </row>
    <row r="433" spans="1:6" ht="24">
      <c r="A433" s="396"/>
      <c r="B433" s="369" t="s">
        <v>397</v>
      </c>
      <c r="C433" s="370" t="s">
        <v>4</v>
      </c>
      <c r="D433" s="371">
        <v>3.5000000000000003E-2</v>
      </c>
      <c r="E433" s="372">
        <v>0.75</v>
      </c>
      <c r="F433" s="373">
        <f t="shared" ref="F433" si="62">E433*D433</f>
        <v>2.6250000000000002E-2</v>
      </c>
    </row>
    <row r="434" spans="1:6">
      <c r="A434" s="396"/>
      <c r="B434" s="404"/>
      <c r="C434" s="396"/>
      <c r="D434" s="383" t="s">
        <v>298</v>
      </c>
      <c r="E434" s="396"/>
      <c r="F434" s="456">
        <f>SUM(F430:F433)</f>
        <v>0.96319999999999995</v>
      </c>
    </row>
    <row r="435" spans="1:6" ht="24">
      <c r="A435" s="396"/>
      <c r="B435" s="369" t="s">
        <v>386</v>
      </c>
      <c r="C435" s="370" t="s">
        <v>300</v>
      </c>
      <c r="D435" s="391">
        <v>0.14799999999999999</v>
      </c>
      <c r="E435" s="391">
        <v>11.87</v>
      </c>
      <c r="F435" s="400">
        <f>E435*D435</f>
        <v>1.7567599999999999</v>
      </c>
    </row>
    <row r="436" spans="1:6">
      <c r="A436" s="396"/>
      <c r="B436" s="369" t="s">
        <v>301</v>
      </c>
      <c r="C436" s="370" t="s">
        <v>300</v>
      </c>
      <c r="D436" s="391">
        <v>0.156</v>
      </c>
      <c r="E436" s="391">
        <v>9.26</v>
      </c>
      <c r="F436" s="400">
        <f t="shared" ref="F436" si="63">E436*D436</f>
        <v>1.4445600000000001</v>
      </c>
    </row>
    <row r="437" spans="1:6">
      <c r="A437" s="396"/>
      <c r="B437" s="378"/>
      <c r="C437" s="418"/>
      <c r="D437" s="420" t="s">
        <v>302</v>
      </c>
      <c r="E437" s="376"/>
      <c r="F437" s="452">
        <f>SUM(F435:F436)</f>
        <v>3.2013199999999999</v>
      </c>
    </row>
    <row r="438" spans="1:6">
      <c r="A438" s="396"/>
      <c r="B438" s="404"/>
      <c r="C438" s="405" t="s">
        <v>303</v>
      </c>
      <c r="D438" s="396"/>
      <c r="E438" s="392"/>
      <c r="F438" s="407">
        <f>F437+F434</f>
        <v>4.1645199999999996</v>
      </c>
    </row>
    <row r="439" spans="1:6">
      <c r="A439" s="396"/>
      <c r="B439" s="404"/>
      <c r="C439" s="396"/>
      <c r="D439" s="405" t="s">
        <v>304</v>
      </c>
      <c r="E439" s="392"/>
      <c r="F439" s="409">
        <f>F438</f>
        <v>4.1645199999999996</v>
      </c>
    </row>
    <row r="440" spans="1:6" ht="24">
      <c r="A440" s="368" t="s">
        <v>448</v>
      </c>
      <c r="B440" s="364" t="s">
        <v>399</v>
      </c>
      <c r="C440" s="365"/>
      <c r="D440" s="365"/>
      <c r="E440" s="365"/>
      <c r="F440" s="368" t="s">
        <v>4</v>
      </c>
    </row>
    <row r="441" spans="1:6">
      <c r="A441" s="396"/>
      <c r="B441" s="369" t="s">
        <v>394</v>
      </c>
      <c r="C441" s="370" t="s">
        <v>4</v>
      </c>
      <c r="D441" s="395">
        <v>1.0999999999999999E-2</v>
      </c>
      <c r="E441" s="391">
        <v>40.65</v>
      </c>
      <c r="F441" s="400">
        <f>E441*D441</f>
        <v>0.44714999999999994</v>
      </c>
    </row>
    <row r="442" spans="1:6">
      <c r="A442" s="396"/>
      <c r="B442" s="369" t="s">
        <v>395</v>
      </c>
      <c r="C442" s="370" t="s">
        <v>4</v>
      </c>
      <c r="D442" s="395">
        <v>1.15E-2</v>
      </c>
      <c r="E442" s="391">
        <v>35.5</v>
      </c>
      <c r="F442" s="400">
        <f>E442*D442</f>
        <v>0.40825</v>
      </c>
    </row>
    <row r="443" spans="1:6">
      <c r="A443" s="396"/>
      <c r="B443" s="369" t="s">
        <v>400</v>
      </c>
      <c r="C443" s="370" t="s">
        <v>4</v>
      </c>
      <c r="D443" s="381">
        <v>1</v>
      </c>
      <c r="E443" s="372">
        <v>1.08</v>
      </c>
      <c r="F443" s="373">
        <f>E443*D443</f>
        <v>1.08</v>
      </c>
    </row>
    <row r="444" spans="1:6" ht="24">
      <c r="A444" s="396"/>
      <c r="B444" s="369" t="s">
        <v>397</v>
      </c>
      <c r="C444" s="370" t="s">
        <v>4</v>
      </c>
      <c r="D444" s="414">
        <v>1.0500000000000001E-2</v>
      </c>
      <c r="E444" s="372">
        <v>0.75</v>
      </c>
      <c r="F444" s="373">
        <f t="shared" ref="F444" si="64">E444*D444</f>
        <v>7.8750000000000001E-3</v>
      </c>
    </row>
    <row r="445" spans="1:6">
      <c r="A445" s="396"/>
      <c r="B445" s="404"/>
      <c r="C445" s="396"/>
      <c r="D445" s="383" t="s">
        <v>298</v>
      </c>
      <c r="E445" s="396"/>
      <c r="F445" s="456">
        <f>SUM(F441:F444)</f>
        <v>1.9432750000000001</v>
      </c>
    </row>
    <row r="446" spans="1:6" ht="24">
      <c r="A446" s="396"/>
      <c r="B446" s="369" t="s">
        <v>386</v>
      </c>
      <c r="C446" s="370" t="s">
        <v>300</v>
      </c>
      <c r="D446" s="411">
        <v>0.19500000000000001</v>
      </c>
      <c r="E446" s="391">
        <v>11.87</v>
      </c>
      <c r="F446" s="400">
        <f>E446*D446</f>
        <v>2.3146499999999999</v>
      </c>
    </row>
    <row r="447" spans="1:6">
      <c r="A447" s="396"/>
      <c r="B447" s="369" t="s">
        <v>301</v>
      </c>
      <c r="C447" s="370" t="s">
        <v>300</v>
      </c>
      <c r="D447" s="391">
        <v>0.215</v>
      </c>
      <c r="E447" s="391">
        <v>9.26</v>
      </c>
      <c r="F447" s="400">
        <f t="shared" ref="F447" si="65">E447*D447</f>
        <v>1.9908999999999999</v>
      </c>
    </row>
    <row r="448" spans="1:6">
      <c r="A448" s="396"/>
      <c r="B448" s="378"/>
      <c r="C448" s="418"/>
      <c r="D448" s="420" t="s">
        <v>302</v>
      </c>
      <c r="E448" s="376"/>
      <c r="F448" s="452">
        <f>SUM(F446:F447)</f>
        <v>4.3055500000000002</v>
      </c>
    </row>
    <row r="449" spans="1:6">
      <c r="A449" s="396"/>
      <c r="B449" s="404"/>
      <c r="C449" s="405" t="s">
        <v>303</v>
      </c>
      <c r="D449" s="396"/>
      <c r="E449" s="392"/>
      <c r="F449" s="407">
        <f>F448+F445</f>
        <v>6.2488250000000001</v>
      </c>
    </row>
    <row r="450" spans="1:6">
      <c r="A450" s="396"/>
      <c r="B450" s="404"/>
      <c r="C450" s="396"/>
      <c r="D450" s="405" t="s">
        <v>304</v>
      </c>
      <c r="E450" s="392"/>
      <c r="F450" s="409">
        <f>F449</f>
        <v>6.2488250000000001</v>
      </c>
    </row>
    <row r="451" spans="1:6" ht="24">
      <c r="A451" s="368" t="s">
        <v>451</v>
      </c>
      <c r="B451" s="364" t="s">
        <v>393</v>
      </c>
      <c r="C451" s="365"/>
      <c r="D451" s="365"/>
      <c r="E451" s="365"/>
      <c r="F451" s="368" t="s">
        <v>4</v>
      </c>
    </row>
    <row r="452" spans="1:6">
      <c r="A452" s="396"/>
      <c r="B452" s="369" t="s">
        <v>394</v>
      </c>
      <c r="C452" s="370" t="s">
        <v>4</v>
      </c>
      <c r="D452" s="395">
        <v>7.0000000000000001E-3</v>
      </c>
      <c r="E452" s="391">
        <v>40.65</v>
      </c>
      <c r="F452" s="400">
        <f>E452*D452</f>
        <v>0.28454999999999997</v>
      </c>
    </row>
    <row r="453" spans="1:6">
      <c r="A453" s="396"/>
      <c r="B453" s="369" t="s">
        <v>395</v>
      </c>
      <c r="C453" s="370" t="s">
        <v>4</v>
      </c>
      <c r="D453" s="395">
        <v>8.0000000000000002E-3</v>
      </c>
      <c r="E453" s="391">
        <v>35.5</v>
      </c>
      <c r="F453" s="400">
        <f>E453*D453</f>
        <v>0.28400000000000003</v>
      </c>
    </row>
    <row r="454" spans="1:6" ht="24">
      <c r="A454" s="396"/>
      <c r="B454" s="369" t="s">
        <v>449</v>
      </c>
      <c r="C454" s="370" t="s">
        <v>4</v>
      </c>
      <c r="D454" s="381">
        <v>1</v>
      </c>
      <c r="E454" s="372">
        <v>1.42</v>
      </c>
      <c r="F454" s="373">
        <f>E454*D454</f>
        <v>1.42</v>
      </c>
    </row>
    <row r="455" spans="1:6" ht="24">
      <c r="A455" s="396"/>
      <c r="B455" s="369" t="s">
        <v>397</v>
      </c>
      <c r="C455" s="370" t="s">
        <v>4</v>
      </c>
      <c r="D455" s="381">
        <v>0.03</v>
      </c>
      <c r="E455" s="372">
        <v>0.75</v>
      </c>
      <c r="F455" s="373">
        <f t="shared" ref="F455" si="66">E455*D455</f>
        <v>2.2499999999999999E-2</v>
      </c>
    </row>
    <row r="456" spans="1:6">
      <c r="A456" s="396"/>
      <c r="B456" s="404"/>
      <c r="C456" s="396"/>
      <c r="D456" s="383" t="s">
        <v>298</v>
      </c>
      <c r="E456" s="396"/>
      <c r="F456" s="456">
        <f>SUM(F452:F455)</f>
        <v>2.01105</v>
      </c>
    </row>
    <row r="457" spans="1:6" ht="24">
      <c r="A457" s="396"/>
      <c r="B457" s="369" t="s">
        <v>386</v>
      </c>
      <c r="C457" s="370" t="s">
        <v>300</v>
      </c>
      <c r="D457" s="391">
        <v>0.09</v>
      </c>
      <c r="E457" s="391">
        <v>11.87</v>
      </c>
      <c r="F457" s="400">
        <f>E457*D457</f>
        <v>1.0682999999999998</v>
      </c>
    </row>
    <row r="458" spans="1:6">
      <c r="A458" s="396"/>
      <c r="B458" s="369" t="s">
        <v>301</v>
      </c>
      <c r="C458" s="370" t="s">
        <v>300</v>
      </c>
      <c r="D458" s="391">
        <v>0.09</v>
      </c>
      <c r="E458" s="391">
        <v>9.26</v>
      </c>
      <c r="F458" s="400">
        <f t="shared" ref="F458" si="67">E458*D458</f>
        <v>0.83339999999999992</v>
      </c>
    </row>
    <row r="459" spans="1:6">
      <c r="A459" s="396"/>
      <c r="B459" s="378"/>
      <c r="C459" s="418"/>
      <c r="D459" s="420" t="s">
        <v>302</v>
      </c>
      <c r="E459" s="376"/>
      <c r="F459" s="452">
        <f>SUM(F457:F458)</f>
        <v>1.9016999999999997</v>
      </c>
    </row>
    <row r="460" spans="1:6">
      <c r="A460" s="396"/>
      <c r="B460" s="404"/>
      <c r="C460" s="405" t="s">
        <v>303</v>
      </c>
      <c r="D460" s="396"/>
      <c r="E460" s="392"/>
      <c r="F460" s="407">
        <f>F459+F456</f>
        <v>3.91275</v>
      </c>
    </row>
    <row r="461" spans="1:6">
      <c r="A461" s="396"/>
      <c r="B461" s="404"/>
      <c r="C461" s="396"/>
      <c r="D461" s="405" t="s">
        <v>304</v>
      </c>
      <c r="E461" s="392"/>
      <c r="F461" s="409">
        <f>F460</f>
        <v>3.91275</v>
      </c>
    </row>
    <row r="462" spans="1:6" ht="24">
      <c r="A462" s="368" t="s">
        <v>452</v>
      </c>
      <c r="B462" s="364" t="s">
        <v>450</v>
      </c>
      <c r="C462" s="365"/>
      <c r="D462" s="365"/>
      <c r="E462" s="365"/>
      <c r="F462" s="368" t="s">
        <v>4</v>
      </c>
    </row>
    <row r="463" spans="1:6">
      <c r="A463" s="396"/>
      <c r="B463" s="369" t="s">
        <v>394</v>
      </c>
      <c r="C463" s="370" t="s">
        <v>4</v>
      </c>
      <c r="D463" s="395">
        <v>1.0999999999999999E-2</v>
      </c>
      <c r="E463" s="391">
        <v>40.65</v>
      </c>
      <c r="F463" s="400">
        <f>E463*D463</f>
        <v>0.44714999999999994</v>
      </c>
    </row>
    <row r="464" spans="1:6">
      <c r="A464" s="396"/>
      <c r="B464" s="369" t="s">
        <v>395</v>
      </c>
      <c r="C464" s="370" t="s">
        <v>4</v>
      </c>
      <c r="D464" s="395">
        <v>1.255E-2</v>
      </c>
      <c r="E464" s="391">
        <v>35.299999999999997</v>
      </c>
      <c r="F464" s="400">
        <f>E464*D464</f>
        <v>0.44301499999999999</v>
      </c>
    </row>
    <row r="465" spans="1:6" ht="24">
      <c r="A465" s="396"/>
      <c r="B465" s="369" t="s">
        <v>397</v>
      </c>
      <c r="C465" s="370" t="s">
        <v>4</v>
      </c>
      <c r="D465" s="414">
        <v>7.5099899999999997E-2</v>
      </c>
      <c r="E465" s="372">
        <v>0.75</v>
      </c>
      <c r="F465" s="373">
        <f t="shared" ref="F465" si="68">E465*D465</f>
        <v>5.6324924999999998E-2</v>
      </c>
    </row>
    <row r="466" spans="1:6">
      <c r="A466" s="396"/>
      <c r="B466" s="404" t="s">
        <v>400</v>
      </c>
      <c r="C466" s="370" t="s">
        <v>4</v>
      </c>
      <c r="D466" s="395">
        <v>1</v>
      </c>
      <c r="E466" s="391">
        <v>1.08</v>
      </c>
      <c r="F466" s="400">
        <f>E466*D466</f>
        <v>1.08</v>
      </c>
    </row>
    <row r="467" spans="1:6">
      <c r="A467" s="396"/>
      <c r="B467" s="404"/>
      <c r="C467" s="396"/>
      <c r="D467" s="383" t="s">
        <v>298</v>
      </c>
      <c r="E467" s="396"/>
      <c r="F467" s="456">
        <f>SUM(F463:F466)</f>
        <v>2.0264899249999999</v>
      </c>
    </row>
    <row r="468" spans="1:6" ht="24">
      <c r="A468" s="396"/>
      <c r="B468" s="369" t="s">
        <v>386</v>
      </c>
      <c r="C468" s="370" t="s">
        <v>300</v>
      </c>
      <c r="D468" s="391">
        <v>0.2</v>
      </c>
      <c r="E468" s="391">
        <v>11.87</v>
      </c>
      <c r="F468" s="400">
        <f>E468*D468</f>
        <v>2.3740000000000001</v>
      </c>
    </row>
    <row r="469" spans="1:6">
      <c r="A469" s="396"/>
      <c r="B469" s="369" t="s">
        <v>301</v>
      </c>
      <c r="C469" s="370" t="s">
        <v>300</v>
      </c>
      <c r="D469" s="391">
        <v>0.2</v>
      </c>
      <c r="E469" s="391">
        <v>9.26</v>
      </c>
      <c r="F469" s="400">
        <f t="shared" ref="F469" si="69">E469*D469</f>
        <v>1.8520000000000001</v>
      </c>
    </row>
    <row r="470" spans="1:6">
      <c r="A470" s="396"/>
      <c r="B470" s="378"/>
      <c r="C470" s="418"/>
      <c r="D470" s="420" t="s">
        <v>302</v>
      </c>
      <c r="E470" s="376"/>
      <c r="F470" s="452">
        <f>SUM(F468:F469)</f>
        <v>4.226</v>
      </c>
    </row>
    <row r="471" spans="1:6">
      <c r="A471" s="396"/>
      <c r="B471" s="404"/>
      <c r="C471" s="405" t="s">
        <v>303</v>
      </c>
      <c r="D471" s="396"/>
      <c r="E471" s="392"/>
      <c r="F471" s="407">
        <f>F470+F467</f>
        <v>6.2524899249999999</v>
      </c>
    </row>
    <row r="472" spans="1:6">
      <c r="A472" s="396"/>
      <c r="B472" s="404"/>
      <c r="C472" s="396"/>
      <c r="D472" s="405" t="s">
        <v>304</v>
      </c>
      <c r="E472" s="392"/>
      <c r="F472" s="409">
        <f>F471</f>
        <v>6.2524899249999999</v>
      </c>
    </row>
    <row r="473" spans="1:6" ht="24">
      <c r="A473" s="368" t="s">
        <v>566</v>
      </c>
      <c r="B473" s="364" t="s">
        <v>565</v>
      </c>
      <c r="C473" s="365"/>
      <c r="D473" s="365"/>
      <c r="E473" s="365"/>
      <c r="F473" s="368" t="s">
        <v>4</v>
      </c>
    </row>
    <row r="474" spans="1:6">
      <c r="A474" s="379"/>
      <c r="B474" s="369" t="s">
        <v>394</v>
      </c>
      <c r="C474" s="370" t="s">
        <v>4</v>
      </c>
      <c r="D474" s="395">
        <v>6.4000000000000003E-3</v>
      </c>
      <c r="E474" s="391">
        <v>40.65</v>
      </c>
      <c r="F474" s="400">
        <f>E474*D474</f>
        <v>0.26016</v>
      </c>
    </row>
    <row r="475" spans="1:6">
      <c r="A475" s="379"/>
      <c r="B475" s="369" t="s">
        <v>395</v>
      </c>
      <c r="C475" s="370" t="s">
        <v>4</v>
      </c>
      <c r="D475" s="395">
        <v>6.4000000000000003E-3</v>
      </c>
      <c r="E475" s="391">
        <v>35.5</v>
      </c>
      <c r="F475" s="400">
        <f>E475*D475</f>
        <v>0.22720000000000001</v>
      </c>
    </row>
    <row r="476" spans="1:6" ht="24">
      <c r="A476" s="418"/>
      <c r="B476" s="369" t="s">
        <v>397</v>
      </c>
      <c r="C476" s="370" t="s">
        <v>4</v>
      </c>
      <c r="D476" s="414">
        <v>2.64E-2</v>
      </c>
      <c r="E476" s="372">
        <v>0.75</v>
      </c>
      <c r="F476" s="373">
        <f t="shared" ref="F476" si="70">E476*D476</f>
        <v>1.9799999999999998E-2</v>
      </c>
    </row>
    <row r="477" spans="1:6" ht="24">
      <c r="A477" s="396"/>
      <c r="B477" s="369" t="s">
        <v>572</v>
      </c>
      <c r="C477" s="370" t="s">
        <v>4</v>
      </c>
      <c r="D477" s="415">
        <v>0.86</v>
      </c>
      <c r="E477" s="512">
        <v>0.67</v>
      </c>
      <c r="F477" s="513">
        <f>E477*D477</f>
        <v>0.57620000000000005</v>
      </c>
    </row>
    <row r="478" spans="1:6">
      <c r="A478" s="396"/>
      <c r="B478" s="404"/>
      <c r="C478" s="396"/>
      <c r="D478" s="383" t="s">
        <v>298</v>
      </c>
      <c r="E478" s="396"/>
      <c r="F478" s="456">
        <f>SUM(F474:F477)</f>
        <v>1.0833600000000001</v>
      </c>
    </row>
    <row r="479" spans="1:6" ht="24">
      <c r="A479" s="396"/>
      <c r="B479" s="369" t="s">
        <v>386</v>
      </c>
      <c r="C479" s="370" t="s">
        <v>300</v>
      </c>
      <c r="D479" s="395">
        <v>5.2400000000000002E-2</v>
      </c>
      <c r="E479" s="391">
        <v>11.87</v>
      </c>
      <c r="F479" s="400">
        <f>E479*D479</f>
        <v>0.62198799999999999</v>
      </c>
    </row>
    <row r="480" spans="1:6">
      <c r="A480" s="396"/>
      <c r="B480" s="369" t="s">
        <v>301</v>
      </c>
      <c r="C480" s="370" t="s">
        <v>300</v>
      </c>
      <c r="D480" s="395">
        <v>5.2440000000000001E-2</v>
      </c>
      <c r="E480" s="391">
        <v>9.26</v>
      </c>
      <c r="F480" s="400">
        <f t="shared" ref="F480" si="71">E480*D480</f>
        <v>0.48559439999999998</v>
      </c>
    </row>
    <row r="481" spans="1:6">
      <c r="A481" s="396"/>
      <c r="B481" s="378"/>
      <c r="C481" s="418"/>
      <c r="D481" s="520" t="s">
        <v>302</v>
      </c>
      <c r="E481" s="376"/>
      <c r="F481" s="452">
        <f>SUM(F479:F480)</f>
        <v>1.1075824000000001</v>
      </c>
    </row>
    <row r="482" spans="1:6">
      <c r="A482" s="396"/>
      <c r="B482" s="404"/>
      <c r="C482" s="405" t="s">
        <v>303</v>
      </c>
      <c r="D482" s="396"/>
      <c r="E482" s="396"/>
      <c r="F482" s="407">
        <v>2.25</v>
      </c>
    </row>
    <row r="483" spans="1:6">
      <c r="A483" s="396"/>
      <c r="B483" s="404"/>
      <c r="C483" s="396"/>
      <c r="D483" s="405" t="s">
        <v>304</v>
      </c>
      <c r="E483" s="396"/>
      <c r="F483" s="409">
        <f>F482</f>
        <v>2.25</v>
      </c>
    </row>
    <row r="484" spans="1:6" ht="24">
      <c r="A484" s="368" t="s">
        <v>567</v>
      </c>
      <c r="B484" s="364" t="s">
        <v>147</v>
      </c>
      <c r="C484" s="401"/>
      <c r="D484" s="401"/>
      <c r="E484" s="401"/>
      <c r="F484" s="368" t="s">
        <v>4</v>
      </c>
    </row>
    <row r="485" spans="1:6">
      <c r="A485" s="418"/>
      <c r="B485" s="369" t="s">
        <v>390</v>
      </c>
      <c r="C485" s="370" t="s">
        <v>4</v>
      </c>
      <c r="D485" s="381">
        <v>0.6</v>
      </c>
      <c r="E485" s="372">
        <v>2.54</v>
      </c>
      <c r="F485" s="373">
        <f t="shared" ref="F485" si="72">E485*D485</f>
        <v>1.524</v>
      </c>
    </row>
    <row r="486" spans="1:6">
      <c r="A486" s="396"/>
      <c r="B486" s="369" t="s">
        <v>573</v>
      </c>
      <c r="C486" s="370" t="s">
        <v>4</v>
      </c>
      <c r="D486" s="415">
        <v>0.86</v>
      </c>
      <c r="E486" s="372">
        <v>12.55</v>
      </c>
      <c r="F486" s="373">
        <f>E486*D486</f>
        <v>10.793000000000001</v>
      </c>
    </row>
    <row r="487" spans="1:6">
      <c r="A487" s="396"/>
      <c r="B487" s="404"/>
      <c r="C487" s="396"/>
      <c r="D487" s="383" t="s">
        <v>298</v>
      </c>
      <c r="E487" s="396"/>
      <c r="F487" s="456">
        <f>SUM(F485:F486)</f>
        <v>12.317</v>
      </c>
    </row>
    <row r="488" spans="1:6" s="419" customFormat="1" ht="24">
      <c r="A488" s="396"/>
      <c r="B488" s="369" t="s">
        <v>386</v>
      </c>
      <c r="C488" s="370" t="s">
        <v>300</v>
      </c>
      <c r="D488" s="391">
        <v>0.15</v>
      </c>
      <c r="E488" s="391">
        <v>11.87</v>
      </c>
      <c r="F488" s="400">
        <f>E488*D488</f>
        <v>1.7804999999999997</v>
      </c>
    </row>
    <row r="489" spans="1:6" s="419" customFormat="1">
      <c r="A489" s="396"/>
      <c r="B489" s="369" t="s">
        <v>301</v>
      </c>
      <c r="C489" s="370" t="s">
        <v>300</v>
      </c>
      <c r="D489" s="391">
        <v>4.5999999999999999E-2</v>
      </c>
      <c r="E489" s="391">
        <v>9.26</v>
      </c>
      <c r="F489" s="400">
        <f t="shared" ref="F489" si="73">E489*D489</f>
        <v>0.42596000000000001</v>
      </c>
    </row>
    <row r="490" spans="1:6" s="419" customFormat="1">
      <c r="A490" s="396"/>
      <c r="B490" s="378"/>
      <c r="C490" s="418"/>
      <c r="D490" s="420" t="s">
        <v>302</v>
      </c>
      <c r="E490" s="376"/>
      <c r="F490" s="452">
        <f>SUM(F488:F489)</f>
        <v>2.2064599999999999</v>
      </c>
    </row>
    <row r="491" spans="1:6">
      <c r="A491" s="396"/>
      <c r="B491" s="404"/>
      <c r="C491" s="405" t="s">
        <v>303</v>
      </c>
      <c r="D491" s="396"/>
      <c r="E491" s="396"/>
      <c r="F491" s="407">
        <v>17.829999999999998</v>
      </c>
    </row>
    <row r="492" spans="1:6">
      <c r="A492" s="396"/>
      <c r="B492" s="404"/>
      <c r="C492" s="396"/>
      <c r="D492" s="405" t="s">
        <v>304</v>
      </c>
      <c r="E492" s="396"/>
      <c r="F492" s="409">
        <f>F491</f>
        <v>17.829999999999998</v>
      </c>
    </row>
    <row r="493" spans="1:6" ht="36">
      <c r="A493" s="368" t="s">
        <v>568</v>
      </c>
      <c r="B493" s="364" t="s">
        <v>77</v>
      </c>
      <c r="C493" s="401"/>
      <c r="D493" s="401"/>
      <c r="E493" s="401"/>
      <c r="F493" s="368" t="s">
        <v>60</v>
      </c>
    </row>
    <row r="494" spans="1:6">
      <c r="A494" s="396"/>
      <c r="B494" s="369" t="s">
        <v>402</v>
      </c>
      <c r="C494" s="370" t="s">
        <v>4</v>
      </c>
      <c r="D494" s="414">
        <v>1.0605</v>
      </c>
      <c r="E494" s="372">
        <v>2.91</v>
      </c>
      <c r="F494" s="373">
        <f>E494*D494</f>
        <v>3.086055</v>
      </c>
    </row>
    <row r="495" spans="1:6" ht="24">
      <c r="A495" s="396"/>
      <c r="B495" s="369" t="s">
        <v>397</v>
      </c>
      <c r="C495" s="370" t="s">
        <v>4</v>
      </c>
      <c r="D495" s="414">
        <v>3.0499999999999999E-2</v>
      </c>
      <c r="E495" s="372">
        <v>0.75</v>
      </c>
      <c r="F495" s="373">
        <f t="shared" ref="F495" si="74">E495*D495</f>
        <v>2.2875E-2</v>
      </c>
    </row>
    <row r="496" spans="1:6">
      <c r="A496" s="396"/>
      <c r="B496" s="404"/>
      <c r="C496" s="396"/>
      <c r="D496" s="383" t="s">
        <v>298</v>
      </c>
      <c r="E496" s="396"/>
      <c r="F496" s="456">
        <f>SUM(F494:F495)</f>
        <v>3.10893</v>
      </c>
    </row>
    <row r="497" spans="1:6" ht="24">
      <c r="A497" s="396"/>
      <c r="B497" s="369" t="s">
        <v>345</v>
      </c>
      <c r="C497" s="370" t="s">
        <v>300</v>
      </c>
      <c r="D497" s="395">
        <v>0.1125</v>
      </c>
      <c r="E497" s="391">
        <v>11.87</v>
      </c>
      <c r="F497" s="400">
        <f>E497*D497</f>
        <v>1.335375</v>
      </c>
    </row>
    <row r="498" spans="1:6">
      <c r="A498" s="396"/>
      <c r="B498" s="369" t="s">
        <v>301</v>
      </c>
      <c r="C498" s="370" t="s">
        <v>300</v>
      </c>
      <c r="D498" s="395">
        <v>0.1154</v>
      </c>
      <c r="E498" s="391">
        <v>9.26</v>
      </c>
      <c r="F498" s="400">
        <f t="shared" ref="F498" si="75">E498*D498</f>
        <v>1.0686040000000001</v>
      </c>
    </row>
    <row r="499" spans="1:6">
      <c r="A499" s="396"/>
      <c r="B499" s="378"/>
      <c r="C499" s="418"/>
      <c r="D499" s="420" t="s">
        <v>302</v>
      </c>
      <c r="E499" s="376"/>
      <c r="F499" s="452">
        <f>SUM(F497:F498)</f>
        <v>2.4039790000000001</v>
      </c>
    </row>
    <row r="500" spans="1:6">
      <c r="A500" s="396"/>
      <c r="B500" s="404"/>
      <c r="C500" s="405" t="s">
        <v>303</v>
      </c>
      <c r="D500" s="396"/>
      <c r="E500" s="392"/>
      <c r="F500" s="407">
        <f>F499+F496</f>
        <v>5.5129090000000005</v>
      </c>
    </row>
    <row r="501" spans="1:6">
      <c r="A501" s="396"/>
      <c r="B501" s="404"/>
      <c r="C501" s="396"/>
      <c r="D501" s="405" t="s">
        <v>304</v>
      </c>
      <c r="E501" s="392"/>
      <c r="F501" s="409">
        <f>F500</f>
        <v>5.5129090000000005</v>
      </c>
    </row>
    <row r="502" spans="1:6" ht="24">
      <c r="A502" s="368" t="s">
        <v>407</v>
      </c>
      <c r="B502" s="364" t="s">
        <v>383</v>
      </c>
      <c r="C502" s="365"/>
      <c r="D502" s="365"/>
      <c r="E502" s="367"/>
      <c r="F502" s="368" t="s">
        <v>297</v>
      </c>
    </row>
    <row r="503" spans="1:6">
      <c r="A503" s="418"/>
      <c r="B503" s="369" t="s">
        <v>313</v>
      </c>
      <c r="C503" s="417" t="s">
        <v>314</v>
      </c>
      <c r="D503" s="461">
        <v>2.4009999999999998</v>
      </c>
      <c r="E503" s="382">
        <v>9.26</v>
      </c>
      <c r="F503" s="373">
        <f t="shared" ref="F503" si="76">E503*D503</f>
        <v>22.233259999999998</v>
      </c>
    </row>
    <row r="504" spans="1:6">
      <c r="A504" s="418"/>
      <c r="B504" s="378"/>
      <c r="C504" s="418"/>
      <c r="D504" s="420" t="s">
        <v>302</v>
      </c>
      <c r="E504" s="376"/>
      <c r="F504" s="452">
        <f>SUM(F503:F503)</f>
        <v>22.233259999999998</v>
      </c>
    </row>
    <row r="505" spans="1:6">
      <c r="A505" s="418"/>
      <c r="B505" s="378"/>
      <c r="C505" s="420" t="s">
        <v>303</v>
      </c>
      <c r="D505" s="418"/>
      <c r="E505" s="376"/>
      <c r="F505" s="422">
        <f>F504</f>
        <v>22.233259999999998</v>
      </c>
    </row>
    <row r="506" spans="1:6">
      <c r="A506" s="418"/>
      <c r="B506" s="378"/>
      <c r="C506" s="418"/>
      <c r="D506" s="420" t="s">
        <v>304</v>
      </c>
      <c r="E506" s="376"/>
      <c r="F506" s="380">
        <f>F505</f>
        <v>22.233259999999998</v>
      </c>
    </row>
    <row r="507" spans="1:6" ht="48">
      <c r="A507" s="368" t="s">
        <v>550</v>
      </c>
      <c r="B507" s="364" t="s">
        <v>315</v>
      </c>
      <c r="C507" s="365"/>
      <c r="D507" s="365"/>
      <c r="E507" s="365"/>
      <c r="F507" s="368" t="s">
        <v>290</v>
      </c>
    </row>
    <row r="508" spans="1:6" ht="24">
      <c r="A508" s="396"/>
      <c r="B508" s="369" t="s">
        <v>316</v>
      </c>
      <c r="C508" s="370" t="s">
        <v>317</v>
      </c>
      <c r="D508" s="413">
        <v>54.4</v>
      </c>
      <c r="E508" s="391">
        <v>0.38</v>
      </c>
      <c r="F508" s="400">
        <f>E508*D508</f>
        <v>20.672000000000001</v>
      </c>
    </row>
    <row r="509" spans="1:6" ht="24">
      <c r="A509" s="396"/>
      <c r="B509" s="369" t="s">
        <v>318</v>
      </c>
      <c r="C509" s="370" t="s">
        <v>297</v>
      </c>
      <c r="D509" s="391">
        <v>1.38E-2</v>
      </c>
      <c r="E509" s="391">
        <v>399.44</v>
      </c>
      <c r="F509" s="400">
        <f>E509*D509</f>
        <v>5.5122720000000003</v>
      </c>
    </row>
    <row r="510" spans="1:6">
      <c r="A510" s="396"/>
      <c r="B510" s="404"/>
      <c r="C510" s="396"/>
      <c r="D510" s="405" t="s">
        <v>298</v>
      </c>
      <c r="E510" s="392"/>
      <c r="F510" s="407">
        <f>SUM(F508:F509)</f>
        <v>26.184272</v>
      </c>
    </row>
    <row r="511" spans="1:6">
      <c r="A511" s="396"/>
      <c r="B511" s="369" t="s">
        <v>319</v>
      </c>
      <c r="C511" s="370" t="s">
        <v>300</v>
      </c>
      <c r="D511" s="391">
        <v>1.1449</v>
      </c>
      <c r="E511" s="391">
        <v>11.87</v>
      </c>
      <c r="F511" s="400">
        <f>E511*D511</f>
        <v>13.589962999999999</v>
      </c>
    </row>
    <row r="512" spans="1:6">
      <c r="A512" s="396"/>
      <c r="B512" s="369" t="s">
        <v>301</v>
      </c>
      <c r="C512" s="370" t="s">
        <v>300</v>
      </c>
      <c r="D512" s="391">
        <v>0.88600000000000001</v>
      </c>
      <c r="E512" s="382">
        <v>9.26</v>
      </c>
      <c r="F512" s="400">
        <f t="shared" ref="F512" si="77">E512*D512</f>
        <v>8.2043599999999994</v>
      </c>
    </row>
    <row r="513" spans="1:6">
      <c r="A513" s="396"/>
      <c r="B513" s="404"/>
      <c r="C513" s="396"/>
      <c r="D513" s="405" t="s">
        <v>302</v>
      </c>
      <c r="E513" s="392"/>
      <c r="F513" s="456">
        <f>SUM(F511:F512)</f>
        <v>21.794322999999999</v>
      </c>
    </row>
    <row r="514" spans="1:6">
      <c r="A514" s="396"/>
      <c r="B514" s="404"/>
      <c r="C514" s="405" t="s">
        <v>303</v>
      </c>
      <c r="D514" s="396"/>
      <c r="E514" s="392"/>
      <c r="F514" s="407">
        <f>F513+F510</f>
        <v>47.978594999999999</v>
      </c>
    </row>
    <row r="515" spans="1:6">
      <c r="A515" s="396"/>
      <c r="B515" s="404"/>
      <c r="C515" s="396"/>
      <c r="D515" s="405" t="s">
        <v>304</v>
      </c>
      <c r="E515" s="392"/>
      <c r="F515" s="409">
        <f>F514</f>
        <v>47.978594999999999</v>
      </c>
    </row>
    <row r="516" spans="1:6">
      <c r="A516" s="368" t="s">
        <v>551</v>
      </c>
      <c r="B516" s="364" t="s">
        <v>259</v>
      </c>
      <c r="C516" s="365"/>
      <c r="D516" s="365"/>
      <c r="E516" s="365"/>
      <c r="F516" s="368" t="s">
        <v>297</v>
      </c>
    </row>
    <row r="517" spans="1:6" ht="24">
      <c r="A517" s="396"/>
      <c r="B517" s="369" t="s">
        <v>453</v>
      </c>
      <c r="C517" s="370" t="s">
        <v>297</v>
      </c>
      <c r="D517" s="395">
        <v>1</v>
      </c>
      <c r="E517" s="391">
        <v>50</v>
      </c>
      <c r="F517" s="400">
        <f>E517*D517</f>
        <v>50</v>
      </c>
    </row>
    <row r="518" spans="1:6">
      <c r="A518" s="396"/>
      <c r="B518" s="404"/>
      <c r="C518" s="396"/>
      <c r="D518" s="383" t="s">
        <v>298</v>
      </c>
      <c r="E518" s="396"/>
      <c r="F518" s="456">
        <f>SUM(F517:F517)</f>
        <v>50</v>
      </c>
    </row>
    <row r="519" spans="1:6">
      <c r="A519" s="396"/>
      <c r="B519" s="378"/>
      <c r="C519" s="418"/>
      <c r="D519" s="420" t="s">
        <v>302</v>
      </c>
      <c r="E519" s="376"/>
      <c r="F519" s="452">
        <f>F518</f>
        <v>50</v>
      </c>
    </row>
    <row r="520" spans="1:6">
      <c r="A520" s="396"/>
      <c r="B520" s="404"/>
      <c r="C520" s="405" t="s">
        <v>303</v>
      </c>
      <c r="D520" s="396"/>
      <c r="E520" s="392"/>
      <c r="F520" s="407">
        <f>F519</f>
        <v>50</v>
      </c>
    </row>
    <row r="521" spans="1:6">
      <c r="A521" s="396"/>
      <c r="B521" s="404"/>
      <c r="C521" s="396"/>
      <c r="D521" s="405" t="s">
        <v>304</v>
      </c>
      <c r="E521" s="392"/>
      <c r="F521" s="409">
        <f>F520</f>
        <v>50</v>
      </c>
    </row>
    <row r="522" spans="1:6">
      <c r="A522" s="368" t="s">
        <v>454</v>
      </c>
      <c r="B522" s="364" t="s">
        <v>99</v>
      </c>
      <c r="C522" s="365"/>
      <c r="D522" s="365"/>
      <c r="E522" s="365"/>
      <c r="F522" s="368" t="s">
        <v>290</v>
      </c>
    </row>
    <row r="523" spans="1:6">
      <c r="A523" s="396"/>
      <c r="B523" s="369" t="s">
        <v>404</v>
      </c>
      <c r="C523" s="370" t="s">
        <v>332</v>
      </c>
      <c r="D523" s="411">
        <v>0.39979999999999999</v>
      </c>
      <c r="E523" s="391">
        <v>27.51</v>
      </c>
      <c r="F523" s="400">
        <f>E523*D523</f>
        <v>10.998498</v>
      </c>
    </row>
    <row r="524" spans="1:6" ht="36">
      <c r="A524" s="396"/>
      <c r="B524" s="369" t="s">
        <v>405</v>
      </c>
      <c r="C524" s="370" t="s">
        <v>290</v>
      </c>
      <c r="D524" s="381">
        <v>1.05</v>
      </c>
      <c r="E524" s="372">
        <v>66.02</v>
      </c>
      <c r="F524" s="373">
        <f>E524*D524</f>
        <v>69.320999999999998</v>
      </c>
    </row>
    <row r="525" spans="1:6">
      <c r="A525" s="396"/>
      <c r="B525" s="404"/>
      <c r="C525" s="396"/>
      <c r="D525" s="383" t="s">
        <v>298</v>
      </c>
      <c r="E525" s="396"/>
      <c r="F525" s="456">
        <f>SUM(F523:F524)</f>
        <v>80.319497999999996</v>
      </c>
    </row>
    <row r="526" spans="1:6">
      <c r="A526" s="396"/>
      <c r="B526" s="369" t="s">
        <v>319</v>
      </c>
      <c r="C526" s="370" t="s">
        <v>300</v>
      </c>
      <c r="D526" s="391">
        <v>0.17100000000000001</v>
      </c>
      <c r="E526" s="391">
        <v>11.87</v>
      </c>
      <c r="F526" s="400">
        <f>E526*D526</f>
        <v>2.0297700000000001</v>
      </c>
    </row>
    <row r="527" spans="1:6">
      <c r="A527" s="396"/>
      <c r="B527" s="369" t="s">
        <v>301</v>
      </c>
      <c r="C527" s="370" t="s">
        <v>300</v>
      </c>
      <c r="D527" s="391">
        <v>0.17</v>
      </c>
      <c r="E527" s="391">
        <v>9.26</v>
      </c>
      <c r="F527" s="400">
        <f t="shared" ref="F527" si="78">E527*D527</f>
        <v>1.5742</v>
      </c>
    </row>
    <row r="528" spans="1:6">
      <c r="A528" s="396"/>
      <c r="B528" s="378"/>
      <c r="C528" s="418"/>
      <c r="D528" s="420" t="s">
        <v>302</v>
      </c>
      <c r="E528" s="376"/>
      <c r="F528" s="452">
        <f>SUM(F526:F527)</f>
        <v>3.6039700000000003</v>
      </c>
    </row>
    <row r="529" spans="1:6">
      <c r="A529" s="396"/>
      <c r="B529" s="404"/>
      <c r="C529" s="405" t="s">
        <v>303</v>
      </c>
      <c r="D529" s="396"/>
      <c r="E529" s="392"/>
      <c r="F529" s="407">
        <f>F528+F525</f>
        <v>83.923468</v>
      </c>
    </row>
    <row r="530" spans="1:6">
      <c r="A530" s="396"/>
      <c r="B530" s="404"/>
      <c r="C530" s="396"/>
      <c r="D530" s="405" t="s">
        <v>304</v>
      </c>
      <c r="E530" s="392"/>
      <c r="F530" s="409">
        <f>F529</f>
        <v>83.923468</v>
      </c>
    </row>
    <row r="531" spans="1:6">
      <c r="A531" s="396"/>
      <c r="B531" s="404"/>
      <c r="C531" s="396"/>
      <c r="D531" s="405"/>
      <c r="E531" s="392"/>
      <c r="F531" s="409"/>
    </row>
    <row r="532" spans="1:6" ht="33" customHeight="1">
      <c r="A532" s="368" t="s">
        <v>552</v>
      </c>
      <c r="B532" s="364" t="s">
        <v>266</v>
      </c>
      <c r="C532" s="365"/>
      <c r="D532" s="365"/>
      <c r="E532" s="365"/>
      <c r="F532" s="368" t="s">
        <v>290</v>
      </c>
    </row>
    <row r="533" spans="1:6" ht="24">
      <c r="A533" s="396"/>
      <c r="B533" s="369" t="s">
        <v>455</v>
      </c>
      <c r="C533" s="370" t="s">
        <v>4</v>
      </c>
      <c r="D533" s="395">
        <v>1</v>
      </c>
      <c r="E533" s="391">
        <v>1900.2</v>
      </c>
      <c r="F533" s="400">
        <f>E533*D533</f>
        <v>1900.2</v>
      </c>
    </row>
    <row r="534" spans="1:6">
      <c r="A534" s="396"/>
      <c r="B534" s="404"/>
      <c r="C534" s="396"/>
      <c r="D534" s="383" t="s">
        <v>298</v>
      </c>
      <c r="E534" s="396"/>
      <c r="F534" s="456">
        <f>SUM(F533:F533)</f>
        <v>1900.2</v>
      </c>
    </row>
    <row r="535" spans="1:6">
      <c r="A535" s="396"/>
      <c r="B535" s="378"/>
      <c r="C535" s="418"/>
      <c r="D535" s="420" t="s">
        <v>302</v>
      </c>
      <c r="E535" s="376"/>
      <c r="F535" s="452">
        <f>F534</f>
        <v>1900.2</v>
      </c>
    </row>
    <row r="536" spans="1:6">
      <c r="A536" s="396"/>
      <c r="B536" s="404"/>
      <c r="C536" s="405" t="s">
        <v>303</v>
      </c>
      <c r="D536" s="396"/>
      <c r="E536" s="392"/>
      <c r="F536" s="407">
        <f>F535</f>
        <v>1900.2</v>
      </c>
    </row>
    <row r="537" spans="1:6">
      <c r="A537" s="396"/>
      <c r="B537" s="404"/>
      <c r="C537" s="396"/>
      <c r="D537" s="405" t="s">
        <v>304</v>
      </c>
      <c r="E537" s="392"/>
      <c r="F537" s="409">
        <f>F536</f>
        <v>1900.2</v>
      </c>
    </row>
    <row r="538" spans="1:6" ht="36">
      <c r="A538" s="368" t="s">
        <v>553</v>
      </c>
      <c r="B538" s="364" t="s">
        <v>267</v>
      </c>
      <c r="C538" s="365"/>
      <c r="D538" s="365"/>
      <c r="E538" s="365"/>
      <c r="F538" s="368" t="s">
        <v>290</v>
      </c>
    </row>
    <row r="539" spans="1:6" ht="36">
      <c r="A539" s="396"/>
      <c r="B539" s="369" t="s">
        <v>456</v>
      </c>
      <c r="C539" s="370" t="s">
        <v>4</v>
      </c>
      <c r="D539" s="395">
        <v>1</v>
      </c>
      <c r="E539" s="391">
        <v>3130.04</v>
      </c>
      <c r="F539" s="400">
        <f>E539*D539</f>
        <v>3130.04</v>
      </c>
    </row>
    <row r="540" spans="1:6">
      <c r="A540" s="396"/>
      <c r="B540" s="404"/>
      <c r="C540" s="396"/>
      <c r="D540" s="383" t="s">
        <v>298</v>
      </c>
      <c r="E540" s="396"/>
      <c r="F540" s="456">
        <f>SUM(F539:F539)</f>
        <v>3130.04</v>
      </c>
    </row>
    <row r="541" spans="1:6">
      <c r="A541" s="396"/>
      <c r="B541" s="378"/>
      <c r="C541" s="418"/>
      <c r="D541" s="420" t="s">
        <v>302</v>
      </c>
      <c r="E541" s="376"/>
      <c r="F541" s="452">
        <f>F540</f>
        <v>3130.04</v>
      </c>
    </row>
    <row r="542" spans="1:6">
      <c r="A542" s="396"/>
      <c r="B542" s="404"/>
      <c r="C542" s="405" t="s">
        <v>303</v>
      </c>
      <c r="D542" s="396"/>
      <c r="E542" s="392"/>
      <c r="F542" s="407">
        <f>F541</f>
        <v>3130.04</v>
      </c>
    </row>
    <row r="543" spans="1:6">
      <c r="A543" s="396"/>
      <c r="B543" s="404"/>
      <c r="C543" s="396"/>
      <c r="D543" s="405" t="s">
        <v>304</v>
      </c>
      <c r="E543" s="392"/>
      <c r="F543" s="409">
        <f>F542</f>
        <v>3130.04</v>
      </c>
    </row>
    <row r="544" spans="1:6">
      <c r="A544" s="368" t="s">
        <v>554</v>
      </c>
      <c r="B544" s="364" t="s">
        <v>101</v>
      </c>
      <c r="C544" s="365"/>
      <c r="D544" s="365"/>
      <c r="E544" s="365"/>
      <c r="F544" s="368" t="s">
        <v>290</v>
      </c>
    </row>
    <row r="545" spans="1:6">
      <c r="A545" s="396"/>
      <c r="B545" s="369" t="s">
        <v>408</v>
      </c>
      <c r="C545" s="370" t="s">
        <v>325</v>
      </c>
      <c r="D545" s="391">
        <v>0.13500000000000001</v>
      </c>
      <c r="E545" s="391">
        <v>4.38</v>
      </c>
      <c r="F545" s="400">
        <f>E545*D545</f>
        <v>0.59130000000000005</v>
      </c>
    </row>
    <row r="546" spans="1:6">
      <c r="A546" s="396"/>
      <c r="B546" s="404"/>
      <c r="C546" s="396"/>
      <c r="D546" s="405" t="s">
        <v>298</v>
      </c>
      <c r="E546" s="396"/>
      <c r="F546" s="456">
        <f>SUM(F545:F545)</f>
        <v>0.59130000000000005</v>
      </c>
    </row>
    <row r="547" spans="1:6">
      <c r="A547" s="396"/>
      <c r="B547" s="369" t="s">
        <v>301</v>
      </c>
      <c r="C547" s="370" t="s">
        <v>300</v>
      </c>
      <c r="D547" s="411">
        <v>9.9000000000000005E-2</v>
      </c>
      <c r="E547" s="391">
        <v>9.26</v>
      </c>
      <c r="F547" s="400">
        <f t="shared" ref="F547" si="79">E547*D547</f>
        <v>0.91674</v>
      </c>
    </row>
    <row r="548" spans="1:6">
      <c r="A548" s="396"/>
      <c r="B548" s="378"/>
      <c r="C548" s="418"/>
      <c r="D548" s="420" t="s">
        <v>302</v>
      </c>
      <c r="E548" s="376"/>
      <c r="F548" s="452">
        <f>SUM(F547:F547)</f>
        <v>0.91674</v>
      </c>
    </row>
    <row r="549" spans="1:6">
      <c r="A549" s="396"/>
      <c r="B549" s="404"/>
      <c r="C549" s="405" t="s">
        <v>303</v>
      </c>
      <c r="D549" s="396"/>
      <c r="E549" s="392"/>
      <c r="F549" s="407">
        <f>F548+F546</f>
        <v>1.50804</v>
      </c>
    </row>
    <row r="550" spans="1:6">
      <c r="A550" s="396"/>
      <c r="B550" s="404"/>
      <c r="C550" s="396"/>
      <c r="D550" s="405" t="s">
        <v>304</v>
      </c>
      <c r="E550" s="392"/>
      <c r="F550" s="409">
        <f>F549</f>
        <v>1.50804</v>
      </c>
    </row>
    <row r="551" spans="1:6">
      <c r="A551" s="396"/>
      <c r="B551" s="404"/>
      <c r="C551" s="396"/>
      <c r="D551" s="405"/>
      <c r="E551" s="392"/>
      <c r="F551" s="409"/>
    </row>
    <row r="552" spans="1:6">
      <c r="A552" s="462"/>
      <c r="B552" s="463" t="s">
        <v>409</v>
      </c>
      <c r="C552" s="464"/>
      <c r="D552" s="465"/>
      <c r="E552" s="466"/>
      <c r="F552" s="467"/>
    </row>
    <row r="553" spans="1:6">
      <c r="A553" s="462"/>
      <c r="B553" s="463"/>
      <c r="C553" s="464"/>
      <c r="D553" s="465"/>
      <c r="E553" s="466"/>
      <c r="F553" s="467"/>
    </row>
    <row r="554" spans="1:6">
      <c r="A554" s="462"/>
      <c r="B554" s="462"/>
      <c r="C554" s="468"/>
      <c r="D554" s="469"/>
      <c r="E554" s="470"/>
      <c r="F554" s="467"/>
    </row>
    <row r="555" spans="1:6">
      <c r="A555" s="471"/>
      <c r="B555" s="599" t="s">
        <v>576</v>
      </c>
      <c r="C555" s="599"/>
      <c r="D555" s="599"/>
      <c r="E555" s="599"/>
      <c r="F555" s="472"/>
    </row>
    <row r="556" spans="1:6">
      <c r="A556" s="471"/>
      <c r="B556" s="599"/>
      <c r="C556" s="599"/>
      <c r="D556" s="599"/>
      <c r="E556" s="599"/>
      <c r="F556" s="471"/>
    </row>
    <row r="557" spans="1:6">
      <c r="A557" s="473"/>
      <c r="B557" s="599"/>
      <c r="C557" s="599"/>
      <c r="D557" s="599"/>
      <c r="E557" s="599"/>
      <c r="F557" s="474"/>
    </row>
    <row r="558" spans="1:6">
      <c r="A558" s="475"/>
      <c r="B558" s="476"/>
      <c r="C558" s="476"/>
      <c r="D558" s="476"/>
      <c r="E558" s="477"/>
      <c r="F558" s="478"/>
    </row>
  </sheetData>
  <mergeCells count="4">
    <mergeCell ref="A10:F10"/>
    <mergeCell ref="A11:F11"/>
    <mergeCell ref="B555:E557"/>
    <mergeCell ref="A9:F9"/>
  </mergeCells>
  <pageMargins left="0.511811024" right="0.511811024" top="0.78740157499999996" bottom="0.78740157499999996" header="0.31496062000000002" footer="0.31496062000000002"/>
  <pageSetup paperSize="9" scale="65" orientation="portrait" r:id="rId1"/>
  <rowBreaks count="7" manualBreakCount="7">
    <brk id="55" max="5" man="1"/>
    <brk id="119" max="5" man="1"/>
    <brk id="175" max="5" man="1"/>
    <brk id="233" max="5" man="1"/>
    <brk id="304" max="5" man="1"/>
    <brk id="439" max="5" man="1"/>
    <brk id="506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11</vt:i4>
      </vt:variant>
    </vt:vector>
  </HeadingPairs>
  <TitlesOfParts>
    <vt:vector size="18" baseType="lpstr">
      <vt:lpstr>M_Calculo</vt:lpstr>
      <vt:lpstr>Orçamento</vt:lpstr>
      <vt:lpstr>Curva ABC</vt:lpstr>
      <vt:lpstr>CFF</vt:lpstr>
      <vt:lpstr>BDI</vt:lpstr>
      <vt:lpstr>Encargos</vt:lpstr>
      <vt:lpstr>Comp_UNT</vt:lpstr>
      <vt:lpstr>BDI!Area_de_impressao</vt:lpstr>
      <vt:lpstr>CFF!Area_de_impressao</vt:lpstr>
      <vt:lpstr>Comp_UNT!Area_de_impressao</vt:lpstr>
      <vt:lpstr>'Curva ABC'!Area_de_impressao</vt:lpstr>
      <vt:lpstr>Encargos!Area_de_impressao</vt:lpstr>
      <vt:lpstr>M_Calculo!Area_de_impressao</vt:lpstr>
      <vt:lpstr>Orçamento!Area_de_impressao</vt:lpstr>
      <vt:lpstr>CFF!Titulos_de_impressao</vt:lpstr>
      <vt:lpstr>'Curva ABC'!Titulos_de_impressao</vt:lpstr>
      <vt:lpstr>M_Calculo!Titulos_de_impressao</vt:lpstr>
      <vt:lpstr>Orçamento!Titulos_de_impressao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marcelocmn</dc:creator>
  <cp:lastModifiedBy>Alex</cp:lastModifiedBy>
  <cp:lastPrinted>2016-09-20T16:53:15Z</cp:lastPrinted>
  <dcterms:created xsi:type="dcterms:W3CDTF">2015-04-25T12:27:34Z</dcterms:created>
  <dcterms:modified xsi:type="dcterms:W3CDTF">2016-10-17T18:52:30Z</dcterms:modified>
</cp:coreProperties>
</file>